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0" windowHeight="7755"/>
  </bookViews>
  <sheets>
    <sheet name="2014" sheetId="2" r:id="rId1"/>
    <sheet name="Лист1" sheetId="1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6" i="2"/>
  <c r="H75"/>
  <c r="H74"/>
  <c r="H73"/>
  <c r="H72"/>
  <c r="H71"/>
  <c r="H70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77" s="1"/>
  <c r="G76"/>
  <c r="J76" s="1"/>
  <c r="G75"/>
  <c r="K75" s="1"/>
  <c r="G74"/>
  <c r="J74" s="1"/>
  <c r="G73"/>
  <c r="K73" s="1"/>
  <c r="G72"/>
  <c r="J72" s="1"/>
  <c r="G71"/>
  <c r="K71" s="1"/>
  <c r="G70"/>
  <c r="J70" s="1"/>
  <c r="G68"/>
  <c r="K68" s="1"/>
  <c r="G67"/>
  <c r="J67" s="1"/>
  <c r="G66"/>
  <c r="K66" s="1"/>
  <c r="G65"/>
  <c r="J65" s="1"/>
  <c r="G64"/>
  <c r="K64" s="1"/>
  <c r="G63"/>
  <c r="J63" s="1"/>
  <c r="G62"/>
  <c r="K62" s="1"/>
  <c r="G61"/>
  <c r="J61" s="1"/>
  <c r="G60"/>
  <c r="K60" s="1"/>
  <c r="G59"/>
  <c r="J59" s="1"/>
  <c r="G58"/>
  <c r="K58" s="1"/>
  <c r="G57"/>
  <c r="J57" s="1"/>
  <c r="G56"/>
  <c r="K56" s="1"/>
  <c r="G55"/>
  <c r="J55" s="1"/>
  <c r="G54"/>
  <c r="K54" s="1"/>
  <c r="G53"/>
  <c r="J53" s="1"/>
  <c r="G52"/>
  <c r="K52" s="1"/>
  <c r="G51"/>
  <c r="J51" s="1"/>
  <c r="G50"/>
  <c r="K50" s="1"/>
  <c r="G49"/>
  <c r="J49" s="1"/>
  <c r="G48"/>
  <c r="K48" s="1"/>
  <c r="G47"/>
  <c r="J47" s="1"/>
  <c r="G46"/>
  <c r="K46" s="1"/>
  <c r="G45"/>
  <c r="J45" s="1"/>
  <c r="G44"/>
  <c r="K44" s="1"/>
  <c r="G43"/>
  <c r="J43" s="1"/>
  <c r="G42"/>
  <c r="K42" s="1"/>
  <c r="G41"/>
  <c r="J41" s="1"/>
  <c r="G40"/>
  <c r="K40" s="1"/>
  <c r="G39"/>
  <c r="J39" s="1"/>
  <c r="G38"/>
  <c r="K38" s="1"/>
  <c r="G37"/>
  <c r="J37" s="1"/>
  <c r="G36"/>
  <c r="K36" s="1"/>
  <c r="G35"/>
  <c r="J35" s="1"/>
  <c r="G34"/>
  <c r="K34" s="1"/>
  <c r="G33"/>
  <c r="J33" s="1"/>
  <c r="G32"/>
  <c r="K32" s="1"/>
  <c r="G31"/>
  <c r="J31" s="1"/>
  <c r="G30"/>
  <c r="K30" s="1"/>
  <c r="G29"/>
  <c r="J29" s="1"/>
  <c r="G28"/>
  <c r="K28" s="1"/>
  <c r="G27"/>
  <c r="J27" s="1"/>
  <c r="G26"/>
  <c r="K26" s="1"/>
  <c r="G25"/>
  <c r="J25" s="1"/>
  <c r="G24"/>
  <c r="K24" s="1"/>
  <c r="G23"/>
  <c r="J23" s="1"/>
  <c r="G22"/>
  <c r="K22" s="1"/>
  <c r="G21"/>
  <c r="J21" s="1"/>
  <c r="G20"/>
  <c r="K20" s="1"/>
  <c r="G19"/>
  <c r="J19" s="1"/>
  <c r="G18"/>
  <c r="K18" s="1"/>
  <c r="G17"/>
  <c r="J17" s="1"/>
  <c r="G16"/>
  <c r="K16" s="1"/>
  <c r="G15"/>
  <c r="J15" s="1"/>
  <c r="G14"/>
  <c r="K14" s="1"/>
  <c r="G13"/>
  <c r="J13" s="1"/>
  <c r="G12"/>
  <c r="K12" s="1"/>
  <c r="G11"/>
  <c r="J11" s="1"/>
  <c r="G10"/>
  <c r="K10" s="1"/>
  <c r="G9"/>
  <c r="G77" s="1"/>
  <c r="F76"/>
  <c r="K76" s="1"/>
  <c r="F75"/>
  <c r="F74"/>
  <c r="K74" s="1"/>
  <c r="F73"/>
  <c r="F72"/>
  <c r="K72" s="1"/>
  <c r="F71"/>
  <c r="F70"/>
  <c r="K70" s="1"/>
  <c r="F68"/>
  <c r="F67"/>
  <c r="K67" s="1"/>
  <c r="F66"/>
  <c r="F65"/>
  <c r="K65" s="1"/>
  <c r="F64"/>
  <c r="F63"/>
  <c r="K63" s="1"/>
  <c r="F62"/>
  <c r="F61"/>
  <c r="K61" s="1"/>
  <c r="F60"/>
  <c r="F59"/>
  <c r="K59" s="1"/>
  <c r="F58"/>
  <c r="F57"/>
  <c r="K57" s="1"/>
  <c r="F56"/>
  <c r="F55"/>
  <c r="K55" s="1"/>
  <c r="F54"/>
  <c r="F53"/>
  <c r="K53" s="1"/>
  <c r="F52"/>
  <c r="F51"/>
  <c r="K51" s="1"/>
  <c r="F50"/>
  <c r="F49"/>
  <c r="K49" s="1"/>
  <c r="F48"/>
  <c r="F47"/>
  <c r="K47" s="1"/>
  <c r="F46"/>
  <c r="F45"/>
  <c r="K45" s="1"/>
  <c r="F44"/>
  <c r="F43"/>
  <c r="K43" s="1"/>
  <c r="F42"/>
  <c r="F41"/>
  <c r="K41" s="1"/>
  <c r="F40"/>
  <c r="F39"/>
  <c r="K39" s="1"/>
  <c r="F38"/>
  <c r="F37"/>
  <c r="K37" s="1"/>
  <c r="F36"/>
  <c r="F35"/>
  <c r="K35" s="1"/>
  <c r="F34"/>
  <c r="F33"/>
  <c r="K33" s="1"/>
  <c r="F32"/>
  <c r="F31"/>
  <c r="K31" s="1"/>
  <c r="F30"/>
  <c r="F29"/>
  <c r="K29" s="1"/>
  <c r="F28"/>
  <c r="F27"/>
  <c r="K27" s="1"/>
  <c r="F26"/>
  <c r="F25"/>
  <c r="K25" s="1"/>
  <c r="F24"/>
  <c r="F23"/>
  <c r="K23" s="1"/>
  <c r="F22"/>
  <c r="F21"/>
  <c r="K21" s="1"/>
  <c r="F20"/>
  <c r="F19"/>
  <c r="K19" s="1"/>
  <c r="F18"/>
  <c r="F17"/>
  <c r="K17" s="1"/>
  <c r="F16"/>
  <c r="F15"/>
  <c r="K15" s="1"/>
  <c r="F14"/>
  <c r="F13"/>
  <c r="K13" s="1"/>
  <c r="F12"/>
  <c r="F11"/>
  <c r="K11" s="1"/>
  <c r="F10"/>
  <c r="F9"/>
  <c r="F77" s="1"/>
  <c r="D76"/>
  <c r="D75"/>
  <c r="D74"/>
  <c r="D73"/>
  <c r="D72"/>
  <c r="D71"/>
  <c r="D68"/>
  <c r="D67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0"/>
  <c r="D39"/>
  <c r="D38"/>
  <c r="D37"/>
  <c r="D36"/>
  <c r="D35"/>
  <c r="D34"/>
  <c r="D33"/>
  <c r="D31"/>
  <c r="D30"/>
  <c r="D29"/>
  <c r="D28"/>
  <c r="D27"/>
  <c r="D26"/>
  <c r="D25"/>
  <c r="D24"/>
  <c r="D23"/>
  <c r="D21"/>
  <c r="D20"/>
  <c r="D19"/>
  <c r="D18"/>
  <c r="D17"/>
  <c r="D16"/>
  <c r="D15"/>
  <c r="D14"/>
  <c r="D13"/>
  <c r="D12"/>
  <c r="D11"/>
  <c r="D10"/>
  <c r="D9"/>
  <c r="D77" s="1"/>
  <c r="J10" l="1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1"/>
  <c r="J73"/>
  <c r="J75"/>
  <c r="K9"/>
  <c r="J9"/>
</calcChain>
</file>

<file path=xl/comments1.xml><?xml version="1.0" encoding="utf-8"?>
<comments xmlns="http://schemas.openxmlformats.org/spreadsheetml/2006/main">
  <authors>
    <author>OEM</author>
  </authors>
  <commentList>
    <comment ref="C63" authorId="0">
      <text>
        <r>
          <rPr>
            <b/>
            <sz val="8"/>
            <color indexed="81"/>
            <rFont val="Tahoma"/>
            <charset val="204"/>
          </rPr>
          <t>OEM: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<sst xmlns="http://schemas.openxmlformats.org/spreadsheetml/2006/main" count="105" uniqueCount="52">
  <si>
    <t>(по данным раздельного учета доходов и расходов)</t>
  </si>
  <si>
    <t xml:space="preserve">       Оборот за период</t>
  </si>
  <si>
    <t>Уровень</t>
  </si>
  <si>
    <t>Уровень оплаты</t>
  </si>
  <si>
    <t>№</t>
  </si>
  <si>
    <t>Улица</t>
  </si>
  <si>
    <t>Дом</t>
  </si>
  <si>
    <t xml:space="preserve">      периода</t>
  </si>
  <si>
    <t xml:space="preserve">     периода</t>
  </si>
  <si>
    <t>оплаты,</t>
  </si>
  <si>
    <t>с учетом деб.</t>
  </si>
  <si>
    <t>Дебет</t>
  </si>
  <si>
    <t>Кредит</t>
  </si>
  <si>
    <t>Начислено</t>
  </si>
  <si>
    <t>Оплачено</t>
  </si>
  <si>
    <t>%</t>
  </si>
  <si>
    <t>зад-ти, %</t>
  </si>
  <si>
    <t xml:space="preserve">   Сальдо на начало</t>
  </si>
  <si>
    <t xml:space="preserve">     Сальдо на конец</t>
  </si>
  <si>
    <t>Хохрякова</t>
  </si>
  <si>
    <t>2а</t>
  </si>
  <si>
    <t>2б</t>
  </si>
  <si>
    <t>4а</t>
  </si>
  <si>
    <t>6а</t>
  </si>
  <si>
    <t>8а</t>
  </si>
  <si>
    <t>10а</t>
  </si>
  <si>
    <t>12а</t>
  </si>
  <si>
    <t>14а</t>
  </si>
  <si>
    <t>22а</t>
  </si>
  <si>
    <t>30А</t>
  </si>
  <si>
    <t>Чоппа</t>
  </si>
  <si>
    <t>ул.Мамина</t>
  </si>
  <si>
    <t>21Б</t>
  </si>
  <si>
    <t>27а</t>
  </si>
  <si>
    <t>ул.Вязовая</t>
  </si>
  <si>
    <t>Танкистов</t>
  </si>
  <si>
    <t>40а</t>
  </si>
  <si>
    <t>ул.Комарова</t>
  </si>
  <si>
    <t>133а</t>
  </si>
  <si>
    <t>ул.Бажова</t>
  </si>
  <si>
    <t xml:space="preserve">ул.Октябрьская </t>
  </si>
  <si>
    <t>ул. Трашутина</t>
  </si>
  <si>
    <t xml:space="preserve">ул.Трашутина </t>
  </si>
  <si>
    <t>ул.Эльтонская 2-ая</t>
  </si>
  <si>
    <t>ул.Зальцмана</t>
  </si>
  <si>
    <t>26а</t>
  </si>
  <si>
    <t>ул. Зальцмана</t>
  </si>
  <si>
    <t>ул.Загорская</t>
  </si>
  <si>
    <t>3я Щербаковская</t>
  </si>
  <si>
    <t>пер.4й Томский</t>
  </si>
  <si>
    <t>пер. 1 бульварный</t>
  </si>
  <si>
    <t>Сведения о доходах,полученных за оказание услуг по управлению многоквартирными домами ООО УК "Альтернатива" в 2014г.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</si>
</sst>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164" fontId="0" fillId="0" borderId="0" xfId="0" applyNumberFormat="1" applyBorder="1"/>
    <xf numFmtId="16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1" fillId="0" borderId="0" xfId="0" applyFont="1" applyFill="1" applyBorder="1"/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4" fillId="0" borderId="3" xfId="0" applyFont="1" applyBorder="1"/>
    <xf numFmtId="2" fontId="4" fillId="0" borderId="3" xfId="0" applyNumberFormat="1" applyFont="1" applyBorder="1"/>
    <xf numFmtId="0" fontId="4" fillId="0" borderId="1" xfId="0" applyFont="1" applyBorder="1"/>
    <xf numFmtId="0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15" xfId="0" applyFont="1" applyBorder="1" applyAlignment="1">
      <alignment horizontal="center"/>
    </xf>
    <xf numFmtId="2" fontId="4" fillId="0" borderId="16" xfId="0" applyNumberFormat="1" applyFont="1" applyBorder="1"/>
    <xf numFmtId="0" fontId="4" fillId="0" borderId="2" xfId="0" applyFont="1" applyBorder="1"/>
    <xf numFmtId="2" fontId="4" fillId="0" borderId="17" xfId="0" applyNumberFormat="1" applyFont="1" applyBorder="1"/>
    <xf numFmtId="2" fontId="4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2" fontId="9" fillId="0" borderId="1" xfId="0" applyNumberFormat="1" applyFont="1" applyBorder="1"/>
    <xf numFmtId="2" fontId="8" fillId="0" borderId="1" xfId="0" applyNumberFormat="1" applyFont="1" applyBorder="1"/>
    <xf numFmtId="0" fontId="8" fillId="0" borderId="23" xfId="0" applyFont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0" fillId="0" borderId="20" xfId="0" applyNumberFormat="1" applyBorder="1"/>
    <xf numFmtId="2" fontId="8" fillId="0" borderId="3" xfId="0" applyNumberFormat="1" applyFont="1" applyBorder="1"/>
    <xf numFmtId="2" fontId="8" fillId="0" borderId="18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9" fillId="0" borderId="2" xfId="0" applyNumberFormat="1" applyFont="1" applyBorder="1"/>
    <xf numFmtId="2" fontId="8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workbookViewId="0">
      <selection activeCell="B16" sqref="B16"/>
    </sheetView>
  </sheetViews>
  <sheetFormatPr defaultRowHeight="12.75"/>
  <cols>
    <col min="1" max="1" width="3.7109375" customWidth="1"/>
    <col min="2" max="2" width="17.7109375" customWidth="1"/>
    <col min="3" max="3" width="6.42578125" customWidth="1"/>
    <col min="4" max="4" width="19.140625" customWidth="1"/>
    <col min="6" max="6" width="12.28515625" customWidth="1"/>
    <col min="7" max="7" width="20.140625" customWidth="1"/>
    <col min="8" max="8" width="13.28515625" customWidth="1"/>
    <col min="9" max="9" width="9.7109375" customWidth="1"/>
    <col min="10" max="10" width="10" customWidth="1"/>
    <col min="11" max="11" width="13.85546875" customWidth="1"/>
    <col min="12" max="12" width="13.7109375" customWidth="1"/>
  </cols>
  <sheetData>
    <row r="2" spans="1:15">
      <c r="B2" s="36"/>
      <c r="D2" s="37"/>
      <c r="E2" s="36"/>
    </row>
    <row r="3" spans="1:15">
      <c r="B3" s="36" t="s">
        <v>51</v>
      </c>
      <c r="C3" s="37"/>
      <c r="D3" s="36"/>
      <c r="E3" s="36"/>
      <c r="L3" s="35"/>
    </row>
    <row r="4" spans="1:15">
      <c r="C4" s="36" t="s">
        <v>0</v>
      </c>
      <c r="D4" s="36"/>
      <c r="E4" s="36"/>
    </row>
    <row r="5" spans="1:15" ht="13.5" thickBot="1">
      <c r="B5" s="36"/>
      <c r="C5" s="37"/>
      <c r="D5" s="46"/>
      <c r="E5" s="36"/>
      <c r="F5" s="2"/>
    </row>
    <row r="6" spans="1:15">
      <c r="A6" s="27"/>
      <c r="B6" s="27"/>
      <c r="C6" s="18"/>
      <c r="D6" s="34" t="s">
        <v>17</v>
      </c>
      <c r="E6" s="20"/>
      <c r="F6" s="19" t="s">
        <v>1</v>
      </c>
      <c r="G6" s="21"/>
      <c r="H6" s="19" t="s">
        <v>18</v>
      </c>
      <c r="I6" s="20"/>
      <c r="J6" s="28" t="s">
        <v>2</v>
      </c>
      <c r="K6" s="76" t="s">
        <v>3</v>
      </c>
      <c r="L6" s="79"/>
    </row>
    <row r="7" spans="1:15" ht="13.5" thickBot="1">
      <c r="A7" s="29" t="s">
        <v>4</v>
      </c>
      <c r="B7" s="29" t="s">
        <v>5</v>
      </c>
      <c r="C7" s="22" t="s">
        <v>6</v>
      </c>
      <c r="D7" s="23" t="s">
        <v>7</v>
      </c>
      <c r="E7" s="24"/>
      <c r="F7" s="23"/>
      <c r="G7" s="25"/>
      <c r="H7" s="23" t="s">
        <v>8</v>
      </c>
      <c r="I7" s="24"/>
      <c r="J7" s="39" t="s">
        <v>9</v>
      </c>
      <c r="K7" s="77" t="s">
        <v>10</v>
      </c>
      <c r="L7" s="80"/>
    </row>
    <row r="8" spans="1:15" ht="13.5" thickBot="1">
      <c r="A8" s="31"/>
      <c r="B8" s="31"/>
      <c r="C8" s="26"/>
      <c r="D8" s="32" t="s">
        <v>11</v>
      </c>
      <c r="E8" s="32" t="s">
        <v>12</v>
      </c>
      <c r="F8" s="32" t="s">
        <v>13</v>
      </c>
      <c r="G8" s="33" t="s">
        <v>14</v>
      </c>
      <c r="H8" s="32" t="s">
        <v>11</v>
      </c>
      <c r="I8" s="30" t="s">
        <v>12</v>
      </c>
      <c r="J8" s="30" t="s">
        <v>15</v>
      </c>
      <c r="K8" s="78" t="s">
        <v>16</v>
      </c>
      <c r="L8" s="80"/>
    </row>
    <row r="9" spans="1:15">
      <c r="A9" s="47">
        <v>1</v>
      </c>
      <c r="B9" s="48" t="s">
        <v>19</v>
      </c>
      <c r="C9" s="49">
        <v>2</v>
      </c>
      <c r="D9" s="50">
        <f>523818.24/100*8</f>
        <v>41905.459199999998</v>
      </c>
      <c r="E9" s="15"/>
      <c r="F9" s="50">
        <f>3038483.55/100*8</f>
        <v>243078.68399999998</v>
      </c>
      <c r="G9" s="50">
        <f>2986987.7/100*8</f>
        <v>238959.016</v>
      </c>
      <c r="H9" s="68">
        <f>575314.09/100*8</f>
        <v>46025.127199999995</v>
      </c>
      <c r="I9" s="15"/>
      <c r="J9" s="40">
        <f>G9/F9*100</f>
        <v>98.305212150975791</v>
      </c>
      <c r="K9" s="16">
        <f>G9/(F9+H9)*100</f>
        <v>82.655090228018409</v>
      </c>
      <c r="L9" s="73"/>
      <c r="O9" s="38"/>
    </row>
    <row r="10" spans="1:15">
      <c r="A10" s="47">
        <v>2</v>
      </c>
      <c r="B10" s="48" t="s">
        <v>19</v>
      </c>
      <c r="C10" s="49" t="s">
        <v>20</v>
      </c>
      <c r="D10" s="50">
        <f>203502.29/100*8</f>
        <v>16280.183200000001</v>
      </c>
      <c r="E10" s="17"/>
      <c r="F10" s="50">
        <f>1580870.8/100*8</f>
        <v>126469.664</v>
      </c>
      <c r="G10" s="50">
        <f>1584733.67/100*8</f>
        <v>126778.6936</v>
      </c>
      <c r="H10" s="68">
        <f>199639.42/100*8</f>
        <v>15971.153600000001</v>
      </c>
      <c r="I10" s="17"/>
      <c r="J10" s="40">
        <f t="shared" ref="J10:J73" si="0">G10/F10*100</f>
        <v>100.24435077173921</v>
      </c>
      <c r="K10" s="16">
        <f t="shared" ref="K10:K73" si="1">G10/(F10+H10)*100</f>
        <v>89.004469179626483</v>
      </c>
      <c r="L10" s="73"/>
      <c r="O10" s="38"/>
    </row>
    <row r="11" spans="1:15">
      <c r="A11" s="47">
        <v>3</v>
      </c>
      <c r="B11" s="48" t="s">
        <v>19</v>
      </c>
      <c r="C11" s="49" t="s">
        <v>21</v>
      </c>
      <c r="D11" s="50">
        <f>154529.19/100*8</f>
        <v>12362.3352</v>
      </c>
      <c r="E11" s="17"/>
      <c r="F11" s="50">
        <f>690013.68/100*8</f>
        <v>55201.094400000002</v>
      </c>
      <c r="G11" s="50">
        <f>679058.31/100*8</f>
        <v>54324.664800000006</v>
      </c>
      <c r="H11" s="68">
        <f>165484.56/100*8</f>
        <v>13238.764799999999</v>
      </c>
      <c r="I11" s="17"/>
      <c r="J11" s="40">
        <f t="shared" si="0"/>
        <v>98.412296695335087</v>
      </c>
      <c r="K11" s="16">
        <f t="shared" si="1"/>
        <v>79.375769376217548</v>
      </c>
      <c r="L11" s="73"/>
      <c r="O11" s="38"/>
    </row>
    <row r="12" spans="1:15">
      <c r="A12" s="47">
        <v>4</v>
      </c>
      <c r="B12" s="48" t="s">
        <v>19</v>
      </c>
      <c r="C12" s="49">
        <v>4</v>
      </c>
      <c r="D12" s="50">
        <f>88445.13/100*8</f>
        <v>7075.6104000000005</v>
      </c>
      <c r="E12" s="17"/>
      <c r="F12" s="50">
        <f>579811.44/100*8</f>
        <v>46384.915199999996</v>
      </c>
      <c r="G12" s="50">
        <f>584156.63/100*8</f>
        <v>46732.530400000003</v>
      </c>
      <c r="H12" s="68">
        <f>84099.94/100*8</f>
        <v>6727.9952000000003</v>
      </c>
      <c r="I12" s="17"/>
      <c r="J12" s="40">
        <f t="shared" si="0"/>
        <v>100.74941432683704</v>
      </c>
      <c r="K12" s="16">
        <f t="shared" si="1"/>
        <v>87.987139187160807</v>
      </c>
      <c r="L12" s="73"/>
      <c r="O12" s="38"/>
    </row>
    <row r="13" spans="1:15">
      <c r="A13" s="47">
        <v>5</v>
      </c>
      <c r="B13" s="48" t="s">
        <v>19</v>
      </c>
      <c r="C13" s="49" t="s">
        <v>22</v>
      </c>
      <c r="D13" s="50">
        <f>59366.61/100*8</f>
        <v>4749.3288000000002</v>
      </c>
      <c r="E13" s="17"/>
      <c r="F13" s="50">
        <f>761099.46/100*8</f>
        <v>60887.9568</v>
      </c>
      <c r="G13" s="50">
        <f>765705.8/100*8</f>
        <v>61256.464000000007</v>
      </c>
      <c r="H13" s="68">
        <f>54760.27/100*8</f>
        <v>4380.8215999999993</v>
      </c>
      <c r="I13" s="17"/>
      <c r="J13" s="40">
        <f t="shared" si="0"/>
        <v>100.60522181949783</v>
      </c>
      <c r="K13" s="16">
        <f t="shared" si="1"/>
        <v>93.852628318841042</v>
      </c>
      <c r="L13" s="73"/>
      <c r="O13" s="38"/>
    </row>
    <row r="14" spans="1:15">
      <c r="A14" s="47">
        <v>6</v>
      </c>
      <c r="B14" s="48" t="s">
        <v>19</v>
      </c>
      <c r="C14" s="49">
        <v>6</v>
      </c>
      <c r="D14" s="50">
        <f>50794.25/100*8</f>
        <v>4063.54</v>
      </c>
      <c r="E14" s="17"/>
      <c r="F14" s="50">
        <f>559803.85/100*8</f>
        <v>44784.307999999997</v>
      </c>
      <c r="G14" s="50">
        <f>556588.05/100*8</f>
        <v>44527.044000000002</v>
      </c>
      <c r="H14" s="68">
        <f>54010.5/100*8</f>
        <v>4320.84</v>
      </c>
      <c r="I14" s="17"/>
      <c r="J14" s="40">
        <f t="shared" si="0"/>
        <v>99.42554878820502</v>
      </c>
      <c r="K14" s="16">
        <f t="shared" si="1"/>
        <v>90.676936764349023</v>
      </c>
      <c r="L14" s="73"/>
      <c r="O14" s="38"/>
    </row>
    <row r="15" spans="1:15">
      <c r="A15" s="47">
        <v>7</v>
      </c>
      <c r="B15" s="48" t="s">
        <v>19</v>
      </c>
      <c r="C15" s="49" t="s">
        <v>23</v>
      </c>
      <c r="D15" s="50">
        <f>137586.13/100*8</f>
        <v>11006.8904</v>
      </c>
      <c r="E15" s="17"/>
      <c r="F15" s="50">
        <f>535909.66/100*8</f>
        <v>42872.772800000006</v>
      </c>
      <c r="G15" s="50">
        <f>532023.69/100*8</f>
        <v>42561.895199999999</v>
      </c>
      <c r="H15" s="68">
        <f>141472.1/100*8</f>
        <v>11317.768</v>
      </c>
      <c r="I15" s="17"/>
      <c r="J15" s="40">
        <f t="shared" si="0"/>
        <v>99.274883382396936</v>
      </c>
      <c r="K15" s="16">
        <f t="shared" si="1"/>
        <v>78.541189240170851</v>
      </c>
      <c r="L15" s="73"/>
      <c r="O15" s="38"/>
    </row>
    <row r="16" spans="1:15">
      <c r="A16" s="47">
        <v>8</v>
      </c>
      <c r="B16" s="48" t="s">
        <v>19</v>
      </c>
      <c r="C16" s="49">
        <v>8</v>
      </c>
      <c r="D16" s="50">
        <f>41287.81/100*8</f>
        <v>3303.0247999999997</v>
      </c>
      <c r="E16" s="17"/>
      <c r="F16" s="50">
        <f>568990.81/100*8</f>
        <v>45519.264800000004</v>
      </c>
      <c r="G16" s="50">
        <f>579688.99/100*8</f>
        <v>46375.119200000001</v>
      </c>
      <c r="H16" s="68">
        <f>30589.63/100*8</f>
        <v>2447.1704</v>
      </c>
      <c r="I16" s="17"/>
      <c r="J16" s="40">
        <f t="shared" si="0"/>
        <v>101.88020259940578</v>
      </c>
      <c r="K16" s="16">
        <f t="shared" si="1"/>
        <v>96.68243847314298</v>
      </c>
      <c r="L16" s="73"/>
      <c r="O16" s="38"/>
    </row>
    <row r="17" spans="1:15">
      <c r="A17" s="47">
        <v>9</v>
      </c>
      <c r="B17" s="48" t="s">
        <v>19</v>
      </c>
      <c r="C17" s="49" t="s">
        <v>24</v>
      </c>
      <c r="D17" s="50">
        <f>107684/100*8</f>
        <v>8614.7199999999993</v>
      </c>
      <c r="E17" s="17"/>
      <c r="F17" s="50">
        <f>699019.95/100*8</f>
        <v>55921.595999999998</v>
      </c>
      <c r="G17" s="50">
        <f>699294.9/100*8</f>
        <v>55943.592000000004</v>
      </c>
      <c r="H17" s="68">
        <f>107409.05/100*8</f>
        <v>8592.7240000000002</v>
      </c>
      <c r="I17" s="17"/>
      <c r="J17" s="40">
        <f t="shared" si="0"/>
        <v>100.03933364133599</v>
      </c>
      <c r="K17" s="16">
        <f t="shared" si="1"/>
        <v>86.714999088574444</v>
      </c>
      <c r="L17" s="73"/>
      <c r="O17" s="38"/>
    </row>
    <row r="18" spans="1:15">
      <c r="A18" s="47">
        <v>10</v>
      </c>
      <c r="B18" s="48" t="s">
        <v>19</v>
      </c>
      <c r="C18" s="49">
        <v>10</v>
      </c>
      <c r="D18" s="50">
        <f>239868.23/100*8</f>
        <v>19189.4584</v>
      </c>
      <c r="E18" s="17"/>
      <c r="F18" s="50">
        <f>2586463.43/100*8</f>
        <v>206917.07440000001</v>
      </c>
      <c r="G18" s="50">
        <f>2541738.77/100*8</f>
        <v>203339.10159999999</v>
      </c>
      <c r="H18" s="68">
        <f>284592.89/100*8</f>
        <v>22767.431200000003</v>
      </c>
      <c r="I18" s="17"/>
      <c r="J18" s="40">
        <f t="shared" si="0"/>
        <v>98.27081800263457</v>
      </c>
      <c r="K18" s="16">
        <f t="shared" si="1"/>
        <v>88.529742600103361</v>
      </c>
      <c r="L18" s="73"/>
      <c r="O18" s="38"/>
    </row>
    <row r="19" spans="1:15">
      <c r="A19" s="47">
        <v>11</v>
      </c>
      <c r="B19" s="48" t="s">
        <v>19</v>
      </c>
      <c r="C19" s="49" t="s">
        <v>25</v>
      </c>
      <c r="D19" s="50">
        <f>473106.59/100*8</f>
        <v>37848.527200000004</v>
      </c>
      <c r="E19" s="17"/>
      <c r="F19" s="50">
        <f>2409542.96/100*8</f>
        <v>192763.4368</v>
      </c>
      <c r="G19" s="50">
        <f>2271812.13/100*8</f>
        <v>181744.97039999999</v>
      </c>
      <c r="H19" s="68">
        <f>610837.42/100*8</f>
        <v>48866.993600000002</v>
      </c>
      <c r="I19" s="17"/>
      <c r="J19" s="40">
        <f t="shared" si="0"/>
        <v>94.283943789904455</v>
      </c>
      <c r="K19" s="16">
        <f t="shared" si="1"/>
        <v>75.216093477603636</v>
      </c>
      <c r="L19" s="73"/>
      <c r="O19" s="38"/>
    </row>
    <row r="20" spans="1:15">
      <c r="A20" s="47">
        <v>12</v>
      </c>
      <c r="B20" s="48" t="s">
        <v>19</v>
      </c>
      <c r="C20" s="49">
        <v>12</v>
      </c>
      <c r="D20" s="50">
        <f>387474.84/100*8</f>
        <v>30997.987200000003</v>
      </c>
      <c r="E20" s="41"/>
      <c r="F20" s="50">
        <f>2562680.7/100*8</f>
        <v>205014.45600000001</v>
      </c>
      <c r="G20" s="50">
        <f>2521328.08/100*8</f>
        <v>201706.2464</v>
      </c>
      <c r="H20" s="69">
        <f>428827.46/100*8</f>
        <v>34306.196800000005</v>
      </c>
      <c r="I20" s="41"/>
      <c r="J20" s="40">
        <f t="shared" si="0"/>
        <v>98.386353009175124</v>
      </c>
      <c r="K20" s="16">
        <f t="shared" si="1"/>
        <v>84.282841468164335</v>
      </c>
      <c r="L20" s="73"/>
      <c r="O20" s="38"/>
    </row>
    <row r="21" spans="1:15">
      <c r="A21" s="47">
        <v>13</v>
      </c>
      <c r="B21" s="48" t="s">
        <v>19</v>
      </c>
      <c r="C21" s="49" t="s">
        <v>26</v>
      </c>
      <c r="D21" s="57">
        <f>305824.2/100*8</f>
        <v>24465.936000000002</v>
      </c>
      <c r="E21" s="59"/>
      <c r="F21" s="57">
        <f>2507838.76/100*8</f>
        <v>200627.10079999999</v>
      </c>
      <c r="G21" s="50">
        <f>2480019.82/100*8</f>
        <v>198401.58559999999</v>
      </c>
      <c r="H21" s="63">
        <f>333643.14/100*8</f>
        <v>26691.4512</v>
      </c>
      <c r="I21" s="59"/>
      <c r="J21" s="40">
        <f t="shared" si="0"/>
        <v>98.890720550152125</v>
      </c>
      <c r="K21" s="16">
        <f t="shared" si="1"/>
        <v>87.279099683865653</v>
      </c>
      <c r="L21" s="73"/>
    </row>
    <row r="22" spans="1:15">
      <c r="A22" s="47">
        <v>14</v>
      </c>
      <c r="B22" s="48" t="s">
        <v>19</v>
      </c>
      <c r="C22" s="49">
        <v>14</v>
      </c>
      <c r="D22" s="57">
        <v>0</v>
      </c>
      <c r="E22" s="3"/>
      <c r="F22" s="57">
        <f>535300.06/100*8</f>
        <v>42824.004800000002</v>
      </c>
      <c r="G22" s="50">
        <f>477708.49/100*8</f>
        <v>38216.679199999999</v>
      </c>
      <c r="H22" s="62">
        <f>57591.57/100*8</f>
        <v>4607.3256000000001</v>
      </c>
      <c r="I22" s="3"/>
      <c r="J22" s="40">
        <f t="shared" si="0"/>
        <v>89.241254708620801</v>
      </c>
      <c r="K22" s="16">
        <f t="shared" si="1"/>
        <v>80.572648664309853</v>
      </c>
      <c r="L22" s="73"/>
    </row>
    <row r="23" spans="1:15">
      <c r="A23" s="47">
        <v>15</v>
      </c>
      <c r="B23" s="48" t="s">
        <v>19</v>
      </c>
      <c r="C23" s="49" t="s">
        <v>27</v>
      </c>
      <c r="D23" s="57">
        <f>192702.6/100*8</f>
        <v>15416.208000000001</v>
      </c>
      <c r="E23" s="3"/>
      <c r="F23" s="57">
        <f>674189.95/100*8</f>
        <v>53935.195999999996</v>
      </c>
      <c r="G23" s="50">
        <f>717767.15/100*8</f>
        <v>57421.372000000003</v>
      </c>
      <c r="H23" s="62">
        <f>149125.4/100*8</f>
        <v>11930.031999999999</v>
      </c>
      <c r="I23" s="3"/>
      <c r="J23" s="40">
        <f t="shared" si="0"/>
        <v>106.46363832626102</v>
      </c>
      <c r="K23" s="16">
        <f t="shared" si="1"/>
        <v>87.180100553208433</v>
      </c>
      <c r="L23" s="73"/>
    </row>
    <row r="24" spans="1:15">
      <c r="A24" s="47">
        <v>16</v>
      </c>
      <c r="B24" s="48" t="s">
        <v>19</v>
      </c>
      <c r="C24" s="49">
        <v>16</v>
      </c>
      <c r="D24" s="57">
        <f>91657.9/100*8</f>
        <v>7332.6319999999996</v>
      </c>
      <c r="E24" s="3"/>
      <c r="F24" s="57">
        <f>565507.33/100*8</f>
        <v>45240.5864</v>
      </c>
      <c r="G24" s="50">
        <f>565737.64/100*8</f>
        <v>45259.011200000001</v>
      </c>
      <c r="H24" s="62">
        <f>91427.59/100*8</f>
        <v>7314.2071999999998</v>
      </c>
      <c r="I24" s="3"/>
      <c r="J24" s="40">
        <f t="shared" si="0"/>
        <v>100.04072626255791</v>
      </c>
      <c r="K24" s="16">
        <f t="shared" si="1"/>
        <v>86.117760340704692</v>
      </c>
      <c r="L24" s="73"/>
    </row>
    <row r="25" spans="1:15">
      <c r="A25" s="47">
        <v>17</v>
      </c>
      <c r="B25" s="48" t="s">
        <v>19</v>
      </c>
      <c r="C25" s="49">
        <v>18</v>
      </c>
      <c r="D25" s="57">
        <f>70924.1/100*8</f>
        <v>5673.9280000000008</v>
      </c>
      <c r="E25" s="60"/>
      <c r="F25" s="57">
        <f>574486.75/100*8</f>
        <v>45958.94</v>
      </c>
      <c r="G25" s="50">
        <f>520661.75/100*8</f>
        <v>41652.94</v>
      </c>
      <c r="H25" s="62">
        <f>124749.1/100*8</f>
        <v>9979.9279999999999</v>
      </c>
      <c r="I25" s="3"/>
      <c r="J25" s="40">
        <f t="shared" si="0"/>
        <v>90.630767376271081</v>
      </c>
      <c r="K25" s="16">
        <f t="shared" si="1"/>
        <v>74.461535403254857</v>
      </c>
      <c r="L25" s="73"/>
    </row>
    <row r="26" spans="1:15">
      <c r="A26" s="47">
        <v>18</v>
      </c>
      <c r="B26" s="48" t="s">
        <v>19</v>
      </c>
      <c r="C26" s="49">
        <v>22</v>
      </c>
      <c r="D26" s="57">
        <f>346288.12/100*8</f>
        <v>27703.049599999998</v>
      </c>
      <c r="E26" s="60"/>
      <c r="F26" s="57">
        <f>2936202.4/100*8</f>
        <v>234896.19199999998</v>
      </c>
      <c r="G26" s="50">
        <f>2918645.37/100*8</f>
        <v>233491.62960000001</v>
      </c>
      <c r="H26" s="62">
        <f>363845.15/100*8</f>
        <v>29107.612000000001</v>
      </c>
      <c r="I26" s="3"/>
      <c r="J26" s="40">
        <f t="shared" si="0"/>
        <v>99.402049736080883</v>
      </c>
      <c r="K26" s="16">
        <f t="shared" si="1"/>
        <v>88.442524714530251</v>
      </c>
      <c r="L26" s="73"/>
    </row>
    <row r="27" spans="1:15">
      <c r="A27" s="47">
        <v>19</v>
      </c>
      <c r="B27" s="48" t="s">
        <v>19</v>
      </c>
      <c r="C27" s="49" t="s">
        <v>28</v>
      </c>
      <c r="D27" s="57">
        <f>130104.68/100*8</f>
        <v>10408.374399999999</v>
      </c>
      <c r="E27" s="60"/>
      <c r="F27" s="57">
        <f>1196511.48/100*8</f>
        <v>95720.918399999995</v>
      </c>
      <c r="G27" s="50">
        <f>1221455.14/100*8</f>
        <v>97716.411199999988</v>
      </c>
      <c r="H27" s="62">
        <f>105161.02/100*8</f>
        <v>8412.8816000000006</v>
      </c>
      <c r="I27" s="3"/>
      <c r="J27" s="40">
        <f t="shared" si="0"/>
        <v>102.08469876110173</v>
      </c>
      <c r="K27" s="16">
        <f t="shared" si="1"/>
        <v>93.837362316558114</v>
      </c>
      <c r="L27" s="73"/>
    </row>
    <row r="28" spans="1:15">
      <c r="A28" s="47">
        <v>20</v>
      </c>
      <c r="B28" s="48" t="s">
        <v>19</v>
      </c>
      <c r="C28" s="49">
        <v>24</v>
      </c>
      <c r="D28" s="57">
        <f>289153.2/100*8</f>
        <v>23132.256000000001</v>
      </c>
      <c r="E28" s="3"/>
      <c r="F28" s="57">
        <f>576478.23/100*8</f>
        <v>46118.258399999999</v>
      </c>
      <c r="G28" s="50">
        <f>143321.85/100*8</f>
        <v>11465.748</v>
      </c>
      <c r="H28" s="62">
        <f>722309.58/100*8</f>
        <v>57784.766399999993</v>
      </c>
      <c r="I28" s="3"/>
      <c r="J28" s="40">
        <f t="shared" si="0"/>
        <v>24.861624002696512</v>
      </c>
      <c r="K28" s="16">
        <f t="shared" si="1"/>
        <v>11.035047364665365</v>
      </c>
      <c r="L28" s="73"/>
    </row>
    <row r="29" spans="1:15">
      <c r="A29" s="47">
        <v>21</v>
      </c>
      <c r="B29" s="48" t="s">
        <v>19</v>
      </c>
      <c r="C29" s="49">
        <v>26</v>
      </c>
      <c r="D29" s="57">
        <f>143135.55/100*8</f>
        <v>11450.843999999999</v>
      </c>
      <c r="E29" s="17"/>
      <c r="F29" s="57">
        <f>570265.67/100*8</f>
        <v>45621.253600000004</v>
      </c>
      <c r="G29" s="50">
        <f>531434.81/100*8</f>
        <v>42514.784800000001</v>
      </c>
      <c r="H29" s="63">
        <f>181966.41/100*8</f>
        <v>14557.3128</v>
      </c>
      <c r="I29" s="17"/>
      <c r="J29" s="40">
        <f t="shared" si="0"/>
        <v>93.190742132522203</v>
      </c>
      <c r="K29" s="16">
        <f t="shared" si="1"/>
        <v>70.647719517625461</v>
      </c>
      <c r="L29" s="73"/>
    </row>
    <row r="30" spans="1:15">
      <c r="A30" s="47">
        <v>22</v>
      </c>
      <c r="B30" s="48" t="s">
        <v>19</v>
      </c>
      <c r="C30" s="49">
        <v>28</v>
      </c>
      <c r="D30" s="57">
        <f>65879.82/100*8</f>
        <v>5270.3856000000005</v>
      </c>
      <c r="E30" s="17"/>
      <c r="F30" s="57">
        <f>566008.74/100*8</f>
        <v>45280.699200000003</v>
      </c>
      <c r="G30" s="50">
        <f>567507.36/100*8</f>
        <v>45400.588799999998</v>
      </c>
      <c r="H30" s="63">
        <f>64381.2/100*8</f>
        <v>5150.4960000000001</v>
      </c>
      <c r="I30" s="17"/>
      <c r="J30" s="40">
        <f t="shared" si="0"/>
        <v>100.26476976309586</v>
      </c>
      <c r="K30" s="16">
        <f t="shared" si="1"/>
        <v>90.024812261439308</v>
      </c>
      <c r="L30" s="73"/>
    </row>
    <row r="31" spans="1:15">
      <c r="A31" s="47">
        <v>23</v>
      </c>
      <c r="B31" s="48" t="s">
        <v>19</v>
      </c>
      <c r="C31" s="49">
        <v>30</v>
      </c>
      <c r="D31" s="57">
        <f>545209.72/100*8</f>
        <v>43616.777600000001</v>
      </c>
      <c r="E31" s="61"/>
      <c r="F31" s="57">
        <f>4091778.44/100*8</f>
        <v>327342.27519999997</v>
      </c>
      <c r="G31" s="50">
        <f>3994664.15/100*8</f>
        <v>319573.13199999998</v>
      </c>
      <c r="H31" s="72">
        <f>642324.01/100*8</f>
        <v>51385.9208</v>
      </c>
      <c r="I31" s="61"/>
      <c r="J31" s="40">
        <f t="shared" si="0"/>
        <v>97.626599498872181</v>
      </c>
      <c r="K31" s="16">
        <f t="shared" si="1"/>
        <v>84.380602071676748</v>
      </c>
      <c r="L31" s="73"/>
    </row>
    <row r="32" spans="1:15">
      <c r="A32" s="47">
        <v>24</v>
      </c>
      <c r="B32" s="48" t="s">
        <v>19</v>
      </c>
      <c r="C32" s="49" t="s">
        <v>29</v>
      </c>
      <c r="D32" s="57">
        <v>0</v>
      </c>
      <c r="E32" s="17"/>
      <c r="F32" s="57">
        <f>200512.27/100*8</f>
        <v>16040.981599999999</v>
      </c>
      <c r="G32" s="50">
        <f>142124.94/100*8</f>
        <v>11369.995199999999</v>
      </c>
      <c r="H32" s="63">
        <f>58387.33/100*8</f>
        <v>4670.9863999999998</v>
      </c>
      <c r="I32" s="17"/>
      <c r="J32" s="40">
        <f t="shared" si="0"/>
        <v>70.880919157715383</v>
      </c>
      <c r="K32" s="16">
        <f t="shared" si="1"/>
        <v>54.895774269253408</v>
      </c>
      <c r="L32" s="73"/>
    </row>
    <row r="33" spans="1:12">
      <c r="A33" s="47">
        <v>25</v>
      </c>
      <c r="B33" s="48" t="s">
        <v>30</v>
      </c>
      <c r="C33" s="49">
        <v>1</v>
      </c>
      <c r="D33" s="57">
        <f>211378.93/100*8</f>
        <v>16910.314399999999</v>
      </c>
      <c r="E33" s="17"/>
      <c r="F33" s="57">
        <f>1135559.84/100*8</f>
        <v>90844.787200000006</v>
      </c>
      <c r="G33" s="50">
        <f>1102732.75/100*8</f>
        <v>88218.62</v>
      </c>
      <c r="H33" s="63">
        <f>244206.02/100*8</f>
        <v>19536.481599999999</v>
      </c>
      <c r="I33" s="17"/>
      <c r="J33" s="40">
        <f t="shared" si="0"/>
        <v>97.109171278899737</v>
      </c>
      <c r="K33" s="16">
        <f t="shared" si="1"/>
        <v>79.921730343436664</v>
      </c>
      <c r="L33" s="73"/>
    </row>
    <row r="34" spans="1:12">
      <c r="A34" s="47">
        <v>26</v>
      </c>
      <c r="B34" s="48" t="s">
        <v>30</v>
      </c>
      <c r="C34" s="49">
        <v>2</v>
      </c>
      <c r="D34" s="57">
        <f>461267.65/100*8</f>
        <v>36901.412000000004</v>
      </c>
      <c r="E34" s="17"/>
      <c r="F34" s="57">
        <f>3194114.69/100*8</f>
        <v>255529.1752</v>
      </c>
      <c r="G34" s="50">
        <f>3110916.19/100*8</f>
        <v>248873.29519999999</v>
      </c>
      <c r="H34" s="63">
        <f>544466.15/100*8</f>
        <v>43557.292000000001</v>
      </c>
      <c r="I34" s="17"/>
      <c r="J34" s="40">
        <f t="shared" si="0"/>
        <v>97.395256336271387</v>
      </c>
      <c r="K34" s="16">
        <f t="shared" si="1"/>
        <v>83.211152122632711</v>
      </c>
      <c r="L34" s="73"/>
    </row>
    <row r="35" spans="1:12">
      <c r="A35" s="47">
        <v>27</v>
      </c>
      <c r="B35" s="48" t="s">
        <v>30</v>
      </c>
      <c r="C35" s="49">
        <v>3</v>
      </c>
      <c r="D35" s="57">
        <f>278478.44/100*8</f>
        <v>22278.2752</v>
      </c>
      <c r="E35" s="17"/>
      <c r="F35" s="57">
        <f>1797608.78/100*8</f>
        <v>143808.70240000001</v>
      </c>
      <c r="G35" s="50">
        <f>1778307.46/100*8</f>
        <v>142264.5968</v>
      </c>
      <c r="H35" s="63">
        <f>297779.76/100*8</f>
        <v>23822.380799999999</v>
      </c>
      <c r="I35" s="17"/>
      <c r="J35" s="40">
        <f t="shared" si="0"/>
        <v>98.926278052558231</v>
      </c>
      <c r="K35" s="16">
        <f t="shared" si="1"/>
        <v>84.867671367525958</v>
      </c>
      <c r="L35" s="73"/>
    </row>
    <row r="36" spans="1:12">
      <c r="A36" s="47">
        <v>28</v>
      </c>
      <c r="B36" s="48" t="s">
        <v>30</v>
      </c>
      <c r="C36" s="49">
        <v>4</v>
      </c>
      <c r="D36" s="57">
        <f>51512.2/100*8</f>
        <v>4120.9759999999997</v>
      </c>
      <c r="E36" s="17"/>
      <c r="F36" s="57">
        <f>806585.73/100*8</f>
        <v>64526.858399999997</v>
      </c>
      <c r="G36" s="50">
        <f>791001.57/100*8</f>
        <v>63280.125599999999</v>
      </c>
      <c r="H36" s="63">
        <f>67096.36/100*8</f>
        <v>5367.7088000000003</v>
      </c>
      <c r="I36" s="17"/>
      <c r="J36" s="40">
        <f t="shared" si="0"/>
        <v>98.067885480691558</v>
      </c>
      <c r="K36" s="16">
        <f t="shared" si="1"/>
        <v>90.536544019117997</v>
      </c>
      <c r="L36" s="73"/>
    </row>
    <row r="37" spans="1:12">
      <c r="A37" s="47">
        <v>29</v>
      </c>
      <c r="B37" s="48" t="s">
        <v>30</v>
      </c>
      <c r="C37" s="49">
        <v>5</v>
      </c>
      <c r="D37" s="57">
        <f>107882.06/100*8</f>
        <v>8630.5648000000001</v>
      </c>
      <c r="E37" s="17"/>
      <c r="F37" s="57">
        <f>707254.86/100*8</f>
        <v>56580.388800000001</v>
      </c>
      <c r="G37" s="50">
        <f>671672.31/100*8</f>
        <v>53733.784800000001</v>
      </c>
      <c r="H37" s="63">
        <f>143464.61/100*8</f>
        <v>11477.168799999999</v>
      </c>
      <c r="I37" s="17"/>
      <c r="J37" s="40">
        <f t="shared" si="0"/>
        <v>94.968921104338548</v>
      </c>
      <c r="K37" s="16">
        <f t="shared" si="1"/>
        <v>78.953442784141288</v>
      </c>
      <c r="L37" s="73"/>
    </row>
    <row r="38" spans="1:12">
      <c r="A38" s="47">
        <v>30</v>
      </c>
      <c r="B38" s="48" t="s">
        <v>30</v>
      </c>
      <c r="C38" s="49">
        <v>6</v>
      </c>
      <c r="D38" s="57">
        <f>90208.25/100*8</f>
        <v>7216.66</v>
      </c>
      <c r="E38" s="17"/>
      <c r="F38" s="57">
        <f>703909.87/100*8</f>
        <v>56312.789599999996</v>
      </c>
      <c r="G38" s="50">
        <f>696724.6/100*8</f>
        <v>55737.968000000001</v>
      </c>
      <c r="H38" s="63">
        <f>97393.52/100*8</f>
        <v>7791.4816000000001</v>
      </c>
      <c r="I38" s="17"/>
      <c r="J38" s="40">
        <f t="shared" si="0"/>
        <v>98.979234372718778</v>
      </c>
      <c r="K38" s="16">
        <f t="shared" si="1"/>
        <v>86.94891456780185</v>
      </c>
      <c r="L38" s="73"/>
    </row>
    <row r="39" spans="1:12">
      <c r="A39" s="47">
        <v>31</v>
      </c>
      <c r="B39" s="48" t="s">
        <v>30</v>
      </c>
      <c r="C39" s="49">
        <v>7</v>
      </c>
      <c r="D39" s="57">
        <f>79744.69/100*8</f>
        <v>6379.5752000000002</v>
      </c>
      <c r="E39" s="17"/>
      <c r="F39" s="57">
        <f>706721.49/100*8</f>
        <v>56537.7192</v>
      </c>
      <c r="G39" s="50">
        <f>691540.16/100*8</f>
        <v>55323.212800000001</v>
      </c>
      <c r="H39" s="63">
        <f>94926.02/100*8</f>
        <v>7594.0816000000004</v>
      </c>
      <c r="I39" s="17"/>
      <c r="J39" s="40">
        <f t="shared" si="0"/>
        <v>97.851865237605836</v>
      </c>
      <c r="K39" s="16">
        <f t="shared" si="1"/>
        <v>86.26486721077697</v>
      </c>
      <c r="L39" s="73"/>
    </row>
    <row r="40" spans="1:12">
      <c r="A40" s="47">
        <v>32</v>
      </c>
      <c r="B40" s="48" t="s">
        <v>30</v>
      </c>
      <c r="C40" s="49">
        <v>10</v>
      </c>
      <c r="D40" s="57">
        <f>306714.1/100*8</f>
        <v>24537.127999999997</v>
      </c>
      <c r="E40" s="17"/>
      <c r="F40" s="57">
        <f>1786718.76/100*8</f>
        <v>142937.50080000001</v>
      </c>
      <c r="G40" s="50">
        <f>1724877.5/100*8</f>
        <v>137990.20000000001</v>
      </c>
      <c r="H40" s="63">
        <f>368555.36/100*8</f>
        <v>29484.428799999998</v>
      </c>
      <c r="I40" s="17"/>
      <c r="J40" s="40">
        <f t="shared" si="0"/>
        <v>96.5388363639278</v>
      </c>
      <c r="K40" s="16">
        <f t="shared" si="1"/>
        <v>80.030539224402702</v>
      </c>
      <c r="L40" s="73"/>
    </row>
    <row r="41" spans="1:12">
      <c r="A41" s="47">
        <v>33</v>
      </c>
      <c r="B41" s="48" t="s">
        <v>31</v>
      </c>
      <c r="C41" s="49" t="s">
        <v>32</v>
      </c>
      <c r="D41" s="57">
        <v>0</v>
      </c>
      <c r="E41" s="17"/>
      <c r="F41" s="57">
        <f>140728.47/100*8</f>
        <v>11258.277599999999</v>
      </c>
      <c r="G41" s="50">
        <f>106906.17/100*8</f>
        <v>8552.4935999999998</v>
      </c>
      <c r="H41" s="63">
        <f>33822.3/100*8</f>
        <v>2705.7840000000001</v>
      </c>
      <c r="I41" s="17"/>
      <c r="J41" s="40">
        <f t="shared" si="0"/>
        <v>75.966270364482753</v>
      </c>
      <c r="K41" s="16">
        <f t="shared" si="1"/>
        <v>61.246461416354677</v>
      </c>
      <c r="L41" s="73"/>
    </row>
    <row r="42" spans="1:12">
      <c r="A42" s="47">
        <v>34</v>
      </c>
      <c r="B42" s="51" t="s">
        <v>31</v>
      </c>
      <c r="C42" s="49" t="s">
        <v>33</v>
      </c>
      <c r="D42" s="57">
        <f>216626.63/100*8</f>
        <v>17330.130400000002</v>
      </c>
      <c r="E42" s="17"/>
      <c r="F42" s="57">
        <f>1794346.22/100*8</f>
        <v>143547.69759999998</v>
      </c>
      <c r="G42" s="50">
        <f>1751648.35/100*8</f>
        <v>140131.86800000002</v>
      </c>
      <c r="H42" s="63">
        <f>259324.5/100*8</f>
        <v>20745.96</v>
      </c>
      <c r="I42" s="17"/>
      <c r="J42" s="40">
        <f t="shared" si="0"/>
        <v>97.620421882684411</v>
      </c>
      <c r="K42" s="16">
        <f t="shared" si="1"/>
        <v>85.293534788283893</v>
      </c>
      <c r="L42" s="73"/>
    </row>
    <row r="43" spans="1:12">
      <c r="A43" s="47">
        <v>35</v>
      </c>
      <c r="B43" s="51" t="s">
        <v>34</v>
      </c>
      <c r="C43" s="49">
        <v>29</v>
      </c>
      <c r="D43" s="57">
        <f>242916.99/100*8</f>
        <v>19433.359199999999</v>
      </c>
      <c r="E43" s="17"/>
      <c r="F43" s="57">
        <f>635005.87/100*8</f>
        <v>50800.469599999997</v>
      </c>
      <c r="G43" s="50">
        <f>590332.88/100*8</f>
        <v>47226.630400000002</v>
      </c>
      <c r="H43" s="63">
        <f>287589.98/100*8</f>
        <v>23007.198399999997</v>
      </c>
      <c r="I43" s="17"/>
      <c r="J43" s="40">
        <f t="shared" si="0"/>
        <v>92.964948497247761</v>
      </c>
      <c r="K43" s="16">
        <f t="shared" si="1"/>
        <v>63.986075809900953</v>
      </c>
      <c r="L43" s="73"/>
    </row>
    <row r="44" spans="1:12">
      <c r="A44" s="47">
        <v>36</v>
      </c>
      <c r="B44" s="51" t="s">
        <v>34</v>
      </c>
      <c r="C44" s="49">
        <v>31</v>
      </c>
      <c r="D44" s="57">
        <f>210433.45/100*8</f>
        <v>16834.675999999999</v>
      </c>
      <c r="E44" s="59"/>
      <c r="F44" s="57">
        <f>647875.88/100*8</f>
        <v>51830.070399999997</v>
      </c>
      <c r="G44" s="50">
        <f>596517.99/100*8</f>
        <v>47721.439200000001</v>
      </c>
      <c r="H44" s="63">
        <f>261791.34/100*8</f>
        <v>20943.307199999999</v>
      </c>
      <c r="I44" s="59"/>
      <c r="J44" s="40">
        <f t="shared" si="0"/>
        <v>92.07288130559823</v>
      </c>
      <c r="K44" s="16">
        <f t="shared" si="1"/>
        <v>65.575407894768375</v>
      </c>
      <c r="L44" s="73"/>
    </row>
    <row r="45" spans="1:12">
      <c r="A45" s="47">
        <v>37</v>
      </c>
      <c r="B45" s="51" t="s">
        <v>35</v>
      </c>
      <c r="C45" s="49" t="s">
        <v>36</v>
      </c>
      <c r="D45" s="57">
        <f>69275.22/100*8</f>
        <v>5542.0176000000001</v>
      </c>
      <c r="E45" s="3"/>
      <c r="F45" s="57">
        <f>624547.65/100*8</f>
        <v>49963.812000000005</v>
      </c>
      <c r="G45" s="50">
        <f>617462.24/100*8</f>
        <v>49396.979200000002</v>
      </c>
      <c r="H45" s="62">
        <f>76360.63/100*8</f>
        <v>6108.8504000000003</v>
      </c>
      <c r="I45" s="3"/>
      <c r="J45" s="40">
        <f t="shared" si="0"/>
        <v>98.865513303908827</v>
      </c>
      <c r="K45" s="16">
        <f t="shared" si="1"/>
        <v>88.094584929143636</v>
      </c>
      <c r="L45" s="73"/>
    </row>
    <row r="46" spans="1:12">
      <c r="A46" s="47">
        <v>38</v>
      </c>
      <c r="B46" s="51" t="s">
        <v>37</v>
      </c>
      <c r="C46" s="49">
        <v>39</v>
      </c>
      <c r="D46" s="57">
        <f>347454.08/100*8</f>
        <v>27796.326400000002</v>
      </c>
      <c r="E46" s="3"/>
      <c r="F46" s="57">
        <f>1685340.77/100*8</f>
        <v>134827.2616</v>
      </c>
      <c r="G46" s="50">
        <f>1619452.92/100*8</f>
        <v>129556.23359999999</v>
      </c>
      <c r="H46" s="62">
        <f>413341.93/100*8</f>
        <v>33067.354399999997</v>
      </c>
      <c r="I46" s="3"/>
      <c r="J46" s="40">
        <f t="shared" si="0"/>
        <v>96.090532480265097</v>
      </c>
      <c r="K46" s="16">
        <f t="shared" si="1"/>
        <v>77.165210348377116</v>
      </c>
      <c r="L46" s="73"/>
    </row>
    <row r="47" spans="1:12">
      <c r="A47" s="47">
        <v>39</v>
      </c>
      <c r="B47" s="51" t="s">
        <v>37</v>
      </c>
      <c r="C47" s="49" t="s">
        <v>38</v>
      </c>
      <c r="D47" s="57">
        <f>13014.3/100*8</f>
        <v>1041.144</v>
      </c>
      <c r="E47" s="60"/>
      <c r="F47" s="57">
        <f>563030.46/100*8</f>
        <v>45042.436799999996</v>
      </c>
      <c r="G47" s="50">
        <f>545546.76/100*8</f>
        <v>43643.7408</v>
      </c>
      <c r="H47" s="62">
        <f>30498/100*8</f>
        <v>2439.84</v>
      </c>
      <c r="I47" s="3"/>
      <c r="J47" s="40">
        <f t="shared" si="0"/>
        <v>96.894715074562754</v>
      </c>
      <c r="K47" s="16">
        <f t="shared" si="1"/>
        <v>91.915855222848137</v>
      </c>
      <c r="L47" s="73"/>
    </row>
    <row r="48" spans="1:12">
      <c r="A48" s="47">
        <v>40</v>
      </c>
      <c r="B48" s="51" t="s">
        <v>39</v>
      </c>
      <c r="C48" s="49">
        <v>35</v>
      </c>
      <c r="D48" s="57">
        <f>318432.29/100*8</f>
        <v>25474.583199999997</v>
      </c>
      <c r="E48" s="60"/>
      <c r="F48" s="57">
        <f>1623010.07/100*8</f>
        <v>129840.80560000001</v>
      </c>
      <c r="G48" s="50">
        <f>1623888.06/100*8</f>
        <v>129911.0448</v>
      </c>
      <c r="H48" s="62">
        <f>317554.3/100*8</f>
        <v>25404.343999999997</v>
      </c>
      <c r="I48" s="3"/>
      <c r="J48" s="40">
        <f t="shared" si="0"/>
        <v>100.05409639879808</v>
      </c>
      <c r="K48" s="16">
        <f t="shared" si="1"/>
        <v>83.681226199159781</v>
      </c>
      <c r="L48" s="73"/>
    </row>
    <row r="49" spans="1:12">
      <c r="A49" s="47">
        <v>41</v>
      </c>
      <c r="B49" s="51" t="s">
        <v>40</v>
      </c>
      <c r="C49" s="49">
        <v>1</v>
      </c>
      <c r="D49" s="57">
        <f>555205.08/100*8</f>
        <v>44416.4064</v>
      </c>
      <c r="E49" s="3"/>
      <c r="F49" s="57">
        <f>2796366.73/100*8</f>
        <v>223709.33840000001</v>
      </c>
      <c r="G49" s="50">
        <f>2750803.09/100*8</f>
        <v>220064.24719999998</v>
      </c>
      <c r="H49" s="63">
        <f>600768.72/100*8</f>
        <v>48061.497599999995</v>
      </c>
      <c r="I49" s="3"/>
      <c r="J49" s="40">
        <f t="shared" si="0"/>
        <v>98.37061285591821</v>
      </c>
      <c r="K49" s="16">
        <f t="shared" si="1"/>
        <v>80.97419518553491</v>
      </c>
      <c r="L49" s="73"/>
    </row>
    <row r="50" spans="1:12">
      <c r="A50" s="47">
        <v>42</v>
      </c>
      <c r="B50" s="51" t="s">
        <v>41</v>
      </c>
      <c r="C50" s="49">
        <v>35</v>
      </c>
      <c r="D50" s="57">
        <f>58263.06/100*8</f>
        <v>4661.0447999999997</v>
      </c>
      <c r="E50" s="3"/>
      <c r="F50" s="57">
        <f>2382750.48/100*8</f>
        <v>190620.03839999999</v>
      </c>
      <c r="G50" s="50">
        <f>2139277.93/100*8</f>
        <v>171142.23440000002</v>
      </c>
      <c r="H50" s="62">
        <f>301735.61/100*8</f>
        <v>24138.8488</v>
      </c>
      <c r="I50" s="3"/>
      <c r="J50" s="40">
        <f t="shared" si="0"/>
        <v>89.781869648390554</v>
      </c>
      <c r="K50" s="16">
        <f t="shared" si="1"/>
        <v>79.690408453559925</v>
      </c>
      <c r="L50" s="73"/>
    </row>
    <row r="51" spans="1:12">
      <c r="A51" s="47">
        <v>43</v>
      </c>
      <c r="B51" s="52" t="s">
        <v>42</v>
      </c>
      <c r="C51" s="53">
        <v>29</v>
      </c>
      <c r="D51" s="58">
        <f>124098.45/100*8</f>
        <v>9927.8760000000002</v>
      </c>
      <c r="E51" s="17"/>
      <c r="F51" s="58">
        <f>950167.84/100*8</f>
        <v>76013.427199999991</v>
      </c>
      <c r="G51" s="54">
        <f>905127.28/100*8</f>
        <v>72410.182400000005</v>
      </c>
      <c r="H51" s="63">
        <f>169139.01/100*8</f>
        <v>13531.120800000001</v>
      </c>
      <c r="I51" s="17"/>
      <c r="J51" s="40">
        <f t="shared" si="0"/>
        <v>95.259725902741579</v>
      </c>
      <c r="K51" s="16">
        <f t="shared" si="1"/>
        <v>80.864981751876186</v>
      </c>
      <c r="L51" s="74"/>
    </row>
    <row r="52" spans="1:12">
      <c r="A52" s="47">
        <v>44</v>
      </c>
      <c r="B52" s="52" t="s">
        <v>42</v>
      </c>
      <c r="C52" s="53">
        <v>27</v>
      </c>
      <c r="D52" s="58">
        <f>30779.01/100*8</f>
        <v>2462.3208</v>
      </c>
      <c r="E52" s="17"/>
      <c r="F52" s="58">
        <f>526611.52/100*8</f>
        <v>42128.921600000001</v>
      </c>
      <c r="G52" s="54">
        <f>514112.49/100*8</f>
        <v>41128.999199999998</v>
      </c>
      <c r="H52" s="63">
        <f>43278.04/100*8</f>
        <v>3462.2431999999999</v>
      </c>
      <c r="I52" s="17"/>
      <c r="J52" s="40">
        <f t="shared" si="0"/>
        <v>97.626517931092721</v>
      </c>
      <c r="K52" s="16">
        <f t="shared" si="1"/>
        <v>90.212652781356439</v>
      </c>
      <c r="L52" s="74"/>
    </row>
    <row r="53" spans="1:12">
      <c r="A53" s="47">
        <v>45</v>
      </c>
      <c r="B53" s="51" t="s">
        <v>42</v>
      </c>
      <c r="C53" s="49">
        <v>25</v>
      </c>
      <c r="D53" s="57">
        <f>106679.4/100*8</f>
        <v>8534.351999999999</v>
      </c>
      <c r="E53" s="61"/>
      <c r="F53" s="57">
        <f>898188.19/100*8</f>
        <v>71855.055200000003</v>
      </c>
      <c r="G53" s="50">
        <f>890685.12/100*8</f>
        <v>71254.809599999993</v>
      </c>
      <c r="H53" s="70">
        <f>114182.47/100*8</f>
        <v>9134.597600000001</v>
      </c>
      <c r="I53" s="61"/>
      <c r="J53" s="40">
        <f t="shared" si="0"/>
        <v>99.164643881590095</v>
      </c>
      <c r="K53" s="16">
        <f t="shared" si="1"/>
        <v>87.980139606179392</v>
      </c>
      <c r="L53" s="73"/>
    </row>
    <row r="54" spans="1:12">
      <c r="A54" s="47">
        <v>46</v>
      </c>
      <c r="B54" s="51" t="s">
        <v>42</v>
      </c>
      <c r="C54" s="53">
        <v>21</v>
      </c>
      <c r="D54" s="58">
        <f>221773.29/100*8</f>
        <v>17741.8632</v>
      </c>
      <c r="E54" s="3"/>
      <c r="F54" s="58">
        <f>967022.59/100*8</f>
        <v>77361.807199999996</v>
      </c>
      <c r="G54" s="54">
        <f>983310.32/100*8</f>
        <v>78664.825599999996</v>
      </c>
      <c r="H54" s="62">
        <f>205485.56/100*8</f>
        <v>16438.844799999999</v>
      </c>
      <c r="I54" s="3"/>
      <c r="J54" s="40">
        <f t="shared" si="0"/>
        <v>101.68431742633852</v>
      </c>
      <c r="K54" s="16">
        <f t="shared" si="1"/>
        <v>83.863836682073384</v>
      </c>
      <c r="L54" s="74"/>
    </row>
    <row r="55" spans="1:12">
      <c r="A55" s="47">
        <v>47</v>
      </c>
      <c r="B55" s="51" t="s">
        <v>41</v>
      </c>
      <c r="C55" s="53">
        <v>19</v>
      </c>
      <c r="D55" s="58">
        <f>75347.75/100*8</f>
        <v>6027.82</v>
      </c>
      <c r="E55" s="3"/>
      <c r="F55" s="58">
        <f>527296.46/100*8</f>
        <v>42183.716799999995</v>
      </c>
      <c r="G55" s="54">
        <f>563934.84/100*8</f>
        <v>45114.787199999999</v>
      </c>
      <c r="H55" s="62">
        <f>38709.37/100*8</f>
        <v>3096.7496000000001</v>
      </c>
      <c r="I55" s="3"/>
      <c r="J55" s="40">
        <f t="shared" si="0"/>
        <v>106.94834552843386</v>
      </c>
      <c r="K55" s="16">
        <f t="shared" si="1"/>
        <v>99.634104475566971</v>
      </c>
      <c r="L55" s="74"/>
    </row>
    <row r="56" spans="1:12">
      <c r="A56" s="47">
        <v>48</v>
      </c>
      <c r="B56" s="51" t="s">
        <v>41</v>
      </c>
      <c r="C56" s="53">
        <v>17</v>
      </c>
      <c r="D56" s="58">
        <f>145488.66/100*8</f>
        <v>11639.0928</v>
      </c>
      <c r="E56" s="3"/>
      <c r="F56" s="58">
        <f>885198.72/100*8</f>
        <v>70815.897599999997</v>
      </c>
      <c r="G56" s="54">
        <f>878376.06/100*8</f>
        <v>70270.084800000011</v>
      </c>
      <c r="H56" s="62">
        <f>15231.32/100*8</f>
        <v>1218.5056</v>
      </c>
      <c r="I56" s="3"/>
      <c r="J56" s="40">
        <f t="shared" si="0"/>
        <v>99.229251031903914</v>
      </c>
      <c r="K56" s="16">
        <f t="shared" si="1"/>
        <v>97.550728094322594</v>
      </c>
      <c r="L56" s="74"/>
    </row>
    <row r="57" spans="1:12">
      <c r="A57" s="47">
        <v>49</v>
      </c>
      <c r="B57" s="51" t="s">
        <v>41</v>
      </c>
      <c r="C57" s="53">
        <v>13</v>
      </c>
      <c r="D57" s="58">
        <f>114234.58/100*8</f>
        <v>9138.7664000000004</v>
      </c>
      <c r="E57" s="3"/>
      <c r="F57" s="58">
        <f>965713.71/100*8</f>
        <v>77257.096799999999</v>
      </c>
      <c r="G57" s="54">
        <f>911969.51/100*8</f>
        <v>72957.560800000007</v>
      </c>
      <c r="H57" s="62">
        <f>167978.78/100*8</f>
        <v>13438.3024</v>
      </c>
      <c r="I57" s="3"/>
      <c r="J57" s="40">
        <f t="shared" si="0"/>
        <v>94.434768871615177</v>
      </c>
      <c r="K57" s="16">
        <f t="shared" si="1"/>
        <v>80.442405506276231</v>
      </c>
      <c r="L57" s="74"/>
    </row>
    <row r="58" spans="1:12">
      <c r="A58" s="47">
        <v>50</v>
      </c>
      <c r="B58" s="51" t="s">
        <v>41</v>
      </c>
      <c r="C58" s="53">
        <v>11</v>
      </c>
      <c r="D58" s="58">
        <f>102920.89/100*8</f>
        <v>8233.6712000000007</v>
      </c>
      <c r="E58" s="3"/>
      <c r="F58" s="58">
        <f>514474.39/100*8</f>
        <v>41157.951200000003</v>
      </c>
      <c r="G58" s="54">
        <f>493911.26/100*8</f>
        <v>39512.900800000003</v>
      </c>
      <c r="H58" s="62">
        <f>123484.02/100*8</f>
        <v>9878.7216000000008</v>
      </c>
      <c r="I58" s="3"/>
      <c r="J58" s="40">
        <f t="shared" si="0"/>
        <v>96.00307995894606</v>
      </c>
      <c r="K58" s="16">
        <f t="shared" si="1"/>
        <v>77.420604894917844</v>
      </c>
      <c r="L58" s="74"/>
    </row>
    <row r="59" spans="1:12">
      <c r="A59" s="47">
        <v>51</v>
      </c>
      <c r="B59" s="51" t="s">
        <v>41</v>
      </c>
      <c r="C59" s="53">
        <v>9</v>
      </c>
      <c r="D59" s="58">
        <f>148839.22/100*8</f>
        <v>11907.1376</v>
      </c>
      <c r="E59" s="3"/>
      <c r="F59" s="58">
        <f>884995.42/100*8</f>
        <v>70799.633600000001</v>
      </c>
      <c r="G59" s="54">
        <f>893516.9/100*8</f>
        <v>71481.351999999999</v>
      </c>
      <c r="H59" s="62">
        <f>140317.74/100*8</f>
        <v>11225.419199999998</v>
      </c>
      <c r="I59" s="3"/>
      <c r="J59" s="40">
        <f t="shared" si="0"/>
        <v>100.9628840791063</v>
      </c>
      <c r="K59" s="16">
        <f t="shared" si="1"/>
        <v>87.145755546529799</v>
      </c>
      <c r="L59" s="74"/>
    </row>
    <row r="60" spans="1:12">
      <c r="A60" s="47">
        <v>52</v>
      </c>
      <c r="B60" s="51" t="s">
        <v>43</v>
      </c>
      <c r="C60" s="53">
        <v>42</v>
      </c>
      <c r="D60" s="58">
        <f>61997.33/100*8</f>
        <v>4959.7864</v>
      </c>
      <c r="E60" s="3"/>
      <c r="F60" s="58">
        <f>913695.02/100*8</f>
        <v>73095.601599999995</v>
      </c>
      <c r="G60" s="54">
        <f>850642.49/100*8</f>
        <v>68051.3992</v>
      </c>
      <c r="H60" s="62">
        <f>125049.86/100*8</f>
        <v>10003.988799999999</v>
      </c>
      <c r="I60" s="3"/>
      <c r="J60" s="40">
        <f t="shared" si="0"/>
        <v>93.099171099783391</v>
      </c>
      <c r="K60" s="16">
        <f t="shared" si="1"/>
        <v>81.891377409244143</v>
      </c>
      <c r="L60" s="74"/>
    </row>
    <row r="61" spans="1:12">
      <c r="A61" s="47">
        <v>53</v>
      </c>
      <c r="B61" s="51" t="s">
        <v>43</v>
      </c>
      <c r="C61" s="53">
        <v>36</v>
      </c>
      <c r="D61" s="58">
        <f>140500.17/100*8</f>
        <v>11240.0136</v>
      </c>
      <c r="E61" s="3"/>
      <c r="F61" s="58">
        <f>1504798/100*8</f>
        <v>120383.84</v>
      </c>
      <c r="G61" s="54">
        <f>1509877.57/100*8</f>
        <v>120790.2056</v>
      </c>
      <c r="H61" s="62">
        <f>1358420.6/100*8</f>
        <v>108673.648</v>
      </c>
      <c r="I61" s="3"/>
      <c r="J61" s="40">
        <f t="shared" si="0"/>
        <v>100.33755826363407</v>
      </c>
      <c r="K61" s="16">
        <f t="shared" si="1"/>
        <v>52.733576472295894</v>
      </c>
      <c r="L61" s="74"/>
    </row>
    <row r="62" spans="1:12">
      <c r="A62" s="47">
        <v>54</v>
      </c>
      <c r="B62" s="51" t="s">
        <v>43</v>
      </c>
      <c r="C62" s="53">
        <v>47</v>
      </c>
      <c r="D62" s="58">
        <f>38151.41/100*8</f>
        <v>3052.1128000000003</v>
      </c>
      <c r="E62" s="3"/>
      <c r="F62" s="58">
        <f>533705.16/100*8</f>
        <v>42696.412800000006</v>
      </c>
      <c r="G62" s="54">
        <f>519826.04/100*8</f>
        <v>41586.083200000001</v>
      </c>
      <c r="H62" s="62">
        <f>52030.53/100*8</f>
        <v>4162.4423999999999</v>
      </c>
      <c r="I62" s="3"/>
      <c r="J62" s="40">
        <f t="shared" si="0"/>
        <v>97.399478018912163</v>
      </c>
      <c r="K62" s="16">
        <f t="shared" si="1"/>
        <v>88.747544135478577</v>
      </c>
      <c r="L62" s="74"/>
    </row>
    <row r="63" spans="1:12">
      <c r="A63" s="47">
        <v>55</v>
      </c>
      <c r="B63" s="51" t="s">
        <v>43</v>
      </c>
      <c r="C63" s="53">
        <v>49</v>
      </c>
      <c r="D63" s="58">
        <f>900855.99/100*8</f>
        <v>72068.479200000002</v>
      </c>
      <c r="E63" s="3"/>
      <c r="F63" s="58">
        <f>601191.36/100*8</f>
        <v>48095.308799999999</v>
      </c>
      <c r="G63" s="54">
        <f>608809.09/100*8</f>
        <v>48704.727199999994</v>
      </c>
      <c r="H63" s="62">
        <f>83238.26/100*8</f>
        <v>6659.0607999999993</v>
      </c>
      <c r="I63" s="3"/>
      <c r="J63" s="40">
        <f t="shared" si="0"/>
        <v>101.26710570158559</v>
      </c>
      <c r="K63" s="16">
        <f t="shared" si="1"/>
        <v>88.951306636904462</v>
      </c>
      <c r="L63" s="74"/>
    </row>
    <row r="64" spans="1:12">
      <c r="A64" s="47">
        <v>56</v>
      </c>
      <c r="B64" s="51" t="s">
        <v>43</v>
      </c>
      <c r="C64" s="53">
        <v>51</v>
      </c>
      <c r="D64" s="58">
        <f>115408.69/100*8</f>
        <v>9232.6952000000001</v>
      </c>
      <c r="E64" s="3"/>
      <c r="F64" s="58">
        <f>905017.65/100*8</f>
        <v>72401.411999999997</v>
      </c>
      <c r="G64" s="54">
        <f>913291.94/100*8</f>
        <v>73063.355199999991</v>
      </c>
      <c r="H64" s="62">
        <f>107134.4/100*8</f>
        <v>8570.7520000000004</v>
      </c>
      <c r="I64" s="3"/>
      <c r="J64" s="40">
        <f t="shared" si="0"/>
        <v>100.91426835708673</v>
      </c>
      <c r="K64" s="16">
        <f t="shared" si="1"/>
        <v>90.232681937461862</v>
      </c>
      <c r="L64" s="74"/>
    </row>
    <row r="65" spans="1:12">
      <c r="A65" s="47">
        <v>57</v>
      </c>
      <c r="B65" s="51" t="s">
        <v>43</v>
      </c>
      <c r="C65" s="53">
        <v>53</v>
      </c>
      <c r="D65" s="58">
        <f>126790.96/100*8</f>
        <v>10143.2768</v>
      </c>
      <c r="E65" s="3"/>
      <c r="F65" s="58">
        <f>915265.23/100*8</f>
        <v>73221.218399999998</v>
      </c>
      <c r="G65" s="54">
        <f>879027.16/100*8</f>
        <v>70322.1728</v>
      </c>
      <c r="H65" s="62">
        <f>163029.03/100*8</f>
        <v>13042.322399999999</v>
      </c>
      <c r="I65" s="3"/>
      <c r="J65" s="40">
        <f t="shared" si="0"/>
        <v>96.040702868172971</v>
      </c>
      <c r="K65" s="16">
        <f t="shared" si="1"/>
        <v>81.520155731887129</v>
      </c>
      <c r="L65" s="74"/>
    </row>
    <row r="66" spans="1:12">
      <c r="A66" s="47">
        <v>58</v>
      </c>
      <c r="B66" s="51" t="s">
        <v>44</v>
      </c>
      <c r="C66" s="53">
        <v>20</v>
      </c>
      <c r="D66" s="58">
        <v>0</v>
      </c>
      <c r="E66" s="3"/>
      <c r="F66" s="58">
        <f>487026.44/100*8</f>
        <v>38962.1152</v>
      </c>
      <c r="G66" s="54">
        <f>426214.83/100*8</f>
        <v>34097.186399999999</v>
      </c>
      <c r="H66" s="63">
        <f>60811.61/100*8</f>
        <v>4864.9287999999997</v>
      </c>
      <c r="I66" s="59"/>
      <c r="J66" s="40">
        <f t="shared" si="0"/>
        <v>87.513694328381845</v>
      </c>
      <c r="K66" s="16">
        <f t="shared" si="1"/>
        <v>77.799420832488721</v>
      </c>
      <c r="L66" s="74"/>
    </row>
    <row r="67" spans="1:12">
      <c r="A67" s="47">
        <v>59</v>
      </c>
      <c r="B67" s="51" t="s">
        <v>44</v>
      </c>
      <c r="C67" s="53">
        <v>26</v>
      </c>
      <c r="D67" s="58">
        <f>52420.82/100*8</f>
        <v>4193.6656000000003</v>
      </c>
      <c r="E67" s="3"/>
      <c r="F67" s="58">
        <f>529351.07/100*8</f>
        <v>42348.085599999999</v>
      </c>
      <c r="G67" s="54">
        <f>545531.62/100*8</f>
        <v>43642.529600000002</v>
      </c>
      <c r="H67" s="62">
        <f>36240.27/100*8</f>
        <v>2899.2215999999999</v>
      </c>
      <c r="I67" s="3"/>
      <c r="J67" s="40">
        <f t="shared" si="0"/>
        <v>103.05667654549183</v>
      </c>
      <c r="K67" s="16">
        <f t="shared" si="1"/>
        <v>96.453319104921249</v>
      </c>
      <c r="L67" s="74"/>
    </row>
    <row r="68" spans="1:12">
      <c r="A68" s="47">
        <v>60</v>
      </c>
      <c r="B68" s="51" t="s">
        <v>44</v>
      </c>
      <c r="C68" s="53" t="s">
        <v>45</v>
      </c>
      <c r="D68" s="58">
        <f>81082.77/100*8</f>
        <v>6486.6216000000004</v>
      </c>
      <c r="E68" s="3"/>
      <c r="F68" s="58">
        <f>854066.41/100*8</f>
        <v>68325.3128</v>
      </c>
      <c r="G68" s="54">
        <f>842036.37/100*8</f>
        <v>67362.909599999999</v>
      </c>
      <c r="H68" s="62">
        <f>93112.81/100*8</f>
        <v>7449.0248000000001</v>
      </c>
      <c r="I68" s="3"/>
      <c r="J68" s="40">
        <f t="shared" si="0"/>
        <v>98.591439745300363</v>
      </c>
      <c r="K68" s="16">
        <f t="shared" si="1"/>
        <v>88.899371124294717</v>
      </c>
      <c r="L68" s="74"/>
    </row>
    <row r="69" spans="1:12">
      <c r="A69" s="47">
        <v>61</v>
      </c>
      <c r="B69" s="51" t="s">
        <v>44</v>
      </c>
      <c r="C69" s="53">
        <v>28</v>
      </c>
      <c r="D69" s="58">
        <v>0</v>
      </c>
      <c r="E69" s="3"/>
      <c r="F69" s="58">
        <v>0</v>
      </c>
      <c r="G69" s="54">
        <v>0</v>
      </c>
      <c r="H69" s="62">
        <v>0</v>
      </c>
      <c r="I69" s="3"/>
      <c r="J69" s="40">
        <v>0</v>
      </c>
      <c r="K69" s="16">
        <v>0</v>
      </c>
      <c r="L69" s="74"/>
    </row>
    <row r="70" spans="1:12">
      <c r="A70" s="47">
        <v>62</v>
      </c>
      <c r="B70" s="51" t="s">
        <v>44</v>
      </c>
      <c r="C70" s="53">
        <v>30</v>
      </c>
      <c r="D70" s="58">
        <v>0</v>
      </c>
      <c r="E70" s="3"/>
      <c r="F70" s="58">
        <f>756815.95/100*8</f>
        <v>60545.275999999998</v>
      </c>
      <c r="G70" s="54">
        <f>682158.7/100*8</f>
        <v>54572.695999999996</v>
      </c>
      <c r="H70" s="62">
        <f>74657.25/100*8</f>
        <v>5972.58</v>
      </c>
      <c r="I70" s="3"/>
      <c r="J70" s="40">
        <f t="shared" si="0"/>
        <v>90.135349288027015</v>
      </c>
      <c r="K70" s="16">
        <f t="shared" si="1"/>
        <v>82.04217526193267</v>
      </c>
      <c r="L70" s="74"/>
    </row>
    <row r="71" spans="1:12">
      <c r="A71" s="47">
        <v>63</v>
      </c>
      <c r="B71" s="51" t="s">
        <v>46</v>
      </c>
      <c r="C71" s="53">
        <v>46</v>
      </c>
      <c r="D71" s="58">
        <f>135178.18/100*8</f>
        <v>10814.2544</v>
      </c>
      <c r="E71" s="3"/>
      <c r="F71" s="58">
        <f>1669411.4/100*8</f>
        <v>133552.91199999998</v>
      </c>
      <c r="G71" s="54">
        <f>1659991.44/100*8</f>
        <v>132799.31519999998</v>
      </c>
      <c r="H71" s="62">
        <f>144598.14/100*8</f>
        <v>11567.851200000001</v>
      </c>
      <c r="I71" s="3"/>
      <c r="J71" s="40">
        <f t="shared" si="0"/>
        <v>99.435731659673593</v>
      </c>
      <c r="K71" s="16">
        <f t="shared" si="1"/>
        <v>91.509520947723345</v>
      </c>
      <c r="L71" s="74"/>
    </row>
    <row r="72" spans="1:12">
      <c r="A72" s="47">
        <v>64</v>
      </c>
      <c r="B72" s="51" t="s">
        <v>46</v>
      </c>
      <c r="C72" s="53">
        <v>48</v>
      </c>
      <c r="D72" s="58">
        <f>334151.2/100*8</f>
        <v>26732.096000000001</v>
      </c>
      <c r="E72" s="3"/>
      <c r="F72" s="58">
        <f>2356456.5/100*8</f>
        <v>188516.52</v>
      </c>
      <c r="G72" s="54">
        <f>2276189.05/100*8</f>
        <v>182095.12399999998</v>
      </c>
      <c r="H72" s="62">
        <f>414418.65/100*8</f>
        <v>33153.491999999998</v>
      </c>
      <c r="I72" s="3"/>
      <c r="J72" s="40">
        <f t="shared" si="0"/>
        <v>96.59372239631837</v>
      </c>
      <c r="K72" s="16">
        <f t="shared" si="1"/>
        <v>82.146936501271085</v>
      </c>
      <c r="L72" s="74"/>
    </row>
    <row r="73" spans="1:12">
      <c r="A73" s="47">
        <v>65</v>
      </c>
      <c r="B73" s="51" t="s">
        <v>47</v>
      </c>
      <c r="C73" s="53">
        <v>71</v>
      </c>
      <c r="D73" s="58">
        <f>27881.49/100*8</f>
        <v>2230.5192000000002</v>
      </c>
      <c r="E73" s="3"/>
      <c r="F73" s="58">
        <f>24084/100*8</f>
        <v>1926.72</v>
      </c>
      <c r="G73" s="54">
        <f>12819.12/100*8</f>
        <v>1025.5296000000001</v>
      </c>
      <c r="H73" s="62">
        <f>39146.37/100*8</f>
        <v>3131.7096000000001</v>
      </c>
      <c r="I73" s="3"/>
      <c r="J73" s="40">
        <f t="shared" si="0"/>
        <v>53.226706527154967</v>
      </c>
      <c r="K73" s="16">
        <f t="shared" si="1"/>
        <v>20.273675450578573</v>
      </c>
      <c r="L73" s="74"/>
    </row>
    <row r="74" spans="1:12">
      <c r="A74" s="47">
        <v>66</v>
      </c>
      <c r="B74" s="51" t="s">
        <v>48</v>
      </c>
      <c r="C74" s="53">
        <v>20</v>
      </c>
      <c r="D74" s="58">
        <f>35208.94/100*8</f>
        <v>2816.7152000000001</v>
      </c>
      <c r="E74" s="3"/>
      <c r="F74" s="58">
        <f>19758.72/100*8</f>
        <v>1580.6976000000002</v>
      </c>
      <c r="G74" s="54">
        <f>5984.13/100*8</f>
        <v>478.73040000000003</v>
      </c>
      <c r="H74" s="62">
        <f>48983.53/100*8</f>
        <v>3918.6823999999997</v>
      </c>
      <c r="I74" s="3"/>
      <c r="J74" s="40">
        <f>G74/F74*100</f>
        <v>30.286020551938584</v>
      </c>
      <c r="K74" s="16">
        <f>G74/(F74+H74)*100</f>
        <v>8.7051704010270257</v>
      </c>
      <c r="L74" s="74"/>
    </row>
    <row r="75" spans="1:12">
      <c r="A75" s="47">
        <v>67</v>
      </c>
      <c r="B75" s="51" t="s">
        <v>49</v>
      </c>
      <c r="C75" s="53">
        <v>12</v>
      </c>
      <c r="D75" s="58">
        <f>13936.16/100*8</f>
        <v>1114.8928000000001</v>
      </c>
      <c r="E75" s="3"/>
      <c r="F75" s="58">
        <f>12505.8/100*8</f>
        <v>1000.4639999999999</v>
      </c>
      <c r="G75" s="54">
        <f>6409.56/100*8</f>
        <v>512.76480000000004</v>
      </c>
      <c r="H75" s="62">
        <f>20032.4/100*8</f>
        <v>1602.5920000000001</v>
      </c>
      <c r="I75" s="3"/>
      <c r="J75" s="40">
        <f>G75/F75*100</f>
        <v>51.252698747781032</v>
      </c>
      <c r="K75" s="16">
        <f>G75/(F75+H75)*100</f>
        <v>19.698569681174742</v>
      </c>
      <c r="L75" s="74"/>
    </row>
    <row r="76" spans="1:12" ht="13.5" thickBot="1">
      <c r="A76" s="64">
        <v>68</v>
      </c>
      <c r="B76" s="55" t="s">
        <v>50</v>
      </c>
      <c r="C76" s="56">
        <v>8</v>
      </c>
      <c r="D76" s="65">
        <f>18232.11/100*8</f>
        <v>1458.5688</v>
      </c>
      <c r="E76" s="4"/>
      <c r="F76" s="65">
        <f>25011.72/100*8</f>
        <v>2000.9376000000002</v>
      </c>
      <c r="G76" s="66">
        <f>10135.51/100*8</f>
        <v>810.84080000000006</v>
      </c>
      <c r="H76" s="71">
        <f>33108.32/100*8</f>
        <v>2648.6655999999998</v>
      </c>
      <c r="I76" s="4"/>
      <c r="J76" s="42">
        <f>G76/F76*100</f>
        <v>40.523042797536512</v>
      </c>
      <c r="K76" s="43">
        <f>G76/(F76+H76)*100</f>
        <v>17.438924680712542</v>
      </c>
      <c r="L76" s="74"/>
    </row>
    <row r="77" spans="1:12" ht="13.5" thickBot="1">
      <c r="A77" s="44"/>
      <c r="B77" s="45"/>
      <c r="C77" s="45"/>
      <c r="D77" s="67">
        <f>SUM(D9:D76)</f>
        <v>913528.64719999954</v>
      </c>
      <c r="E77" s="45"/>
      <c r="F77" s="67">
        <f>SUM(F9:F76)</f>
        <v>5962166.1007999955</v>
      </c>
      <c r="G77" s="67">
        <f>SUM(G9:G76)</f>
        <v>5782213.001600001</v>
      </c>
      <c r="H77" s="67">
        <f>SUM(H9:H76)</f>
        <v>1115555.3824000002</v>
      </c>
      <c r="I77" s="45"/>
      <c r="J77" s="45"/>
      <c r="K77" s="45"/>
      <c r="L77" s="75"/>
    </row>
    <row r="78" spans="1:12">
      <c r="E78" s="5"/>
      <c r="F78" s="5"/>
      <c r="G78" s="5"/>
      <c r="H78" s="5"/>
      <c r="I78" s="5"/>
      <c r="J78" s="5"/>
      <c r="K78" s="5"/>
      <c r="L78" s="5"/>
    </row>
    <row r="79" spans="1:12">
      <c r="E79" s="5"/>
      <c r="F79" s="5"/>
      <c r="G79" s="5"/>
      <c r="H79" s="5"/>
      <c r="I79" s="5"/>
      <c r="J79" s="5"/>
      <c r="K79" s="5"/>
      <c r="L79" s="5"/>
    </row>
    <row r="80" spans="1:12">
      <c r="E80" s="5"/>
      <c r="F80" s="5"/>
      <c r="G80" s="5"/>
      <c r="H80" s="5"/>
      <c r="I80" s="5"/>
      <c r="J80" s="5"/>
      <c r="K80" s="5"/>
      <c r="L80" s="5"/>
    </row>
    <row r="81" spans="5:12">
      <c r="E81" s="5"/>
      <c r="F81" s="5"/>
      <c r="G81" s="5"/>
      <c r="H81" s="5"/>
      <c r="I81" s="5"/>
      <c r="J81" s="5"/>
      <c r="K81" s="5"/>
      <c r="L81" s="5"/>
    </row>
    <row r="82" spans="5:12">
      <c r="E82" s="5"/>
      <c r="F82" s="5"/>
      <c r="G82" s="5"/>
      <c r="H82" s="5"/>
      <c r="I82" s="5"/>
      <c r="J82" s="5"/>
      <c r="K82" s="5"/>
      <c r="L82" s="5"/>
    </row>
    <row r="83" spans="5:12">
      <c r="E83" s="5"/>
      <c r="F83" s="5"/>
      <c r="G83" s="5"/>
      <c r="H83" s="5"/>
      <c r="I83" s="5"/>
      <c r="J83" s="5"/>
      <c r="K83" s="5"/>
      <c r="L83" s="5"/>
    </row>
    <row r="84" spans="5:12">
      <c r="E84" s="5"/>
      <c r="F84" s="5"/>
      <c r="G84" s="5"/>
      <c r="H84" s="5"/>
      <c r="I84" s="5"/>
      <c r="J84" s="5"/>
      <c r="K84" s="5"/>
      <c r="L84" s="5"/>
    </row>
    <row r="85" spans="5:12">
      <c r="E85" s="5"/>
      <c r="F85" s="5"/>
      <c r="G85" s="5"/>
      <c r="H85" s="5"/>
      <c r="I85" s="5"/>
      <c r="J85" s="5"/>
      <c r="K85" s="5"/>
      <c r="L85" s="5"/>
    </row>
    <row r="86" spans="5:12">
      <c r="E86" s="5"/>
      <c r="F86" s="5"/>
      <c r="G86" s="5"/>
      <c r="H86" s="5"/>
      <c r="I86" s="5"/>
      <c r="J86" s="5"/>
      <c r="K86" s="5"/>
      <c r="L86" s="5"/>
    </row>
    <row r="87" spans="5:12">
      <c r="E87" s="5"/>
      <c r="F87" s="5"/>
      <c r="G87" s="5"/>
      <c r="H87" s="5"/>
      <c r="I87" s="5"/>
      <c r="J87" s="5"/>
      <c r="K87" s="5"/>
      <c r="L87" s="5"/>
    </row>
    <row r="88" spans="5:12">
      <c r="E88" s="5"/>
      <c r="F88" s="5"/>
      <c r="G88" s="5"/>
      <c r="H88" s="5"/>
      <c r="I88" s="5"/>
      <c r="J88" s="5"/>
      <c r="K88" s="5"/>
      <c r="L88" s="5"/>
    </row>
    <row r="89" spans="5:12">
      <c r="E89" s="5"/>
      <c r="F89" s="5"/>
      <c r="G89" s="5"/>
      <c r="H89" s="5"/>
      <c r="I89" s="5"/>
      <c r="J89" s="5"/>
      <c r="K89" s="5"/>
      <c r="L89" s="5"/>
    </row>
    <row r="90" spans="5:12">
      <c r="E90" s="5"/>
      <c r="F90" s="5"/>
      <c r="G90" s="5"/>
      <c r="H90" s="5"/>
      <c r="I90" s="5"/>
      <c r="J90" s="5"/>
      <c r="K90" s="5"/>
      <c r="L90" s="5"/>
    </row>
    <row r="91" spans="5:12">
      <c r="E91" s="5"/>
      <c r="F91" s="5"/>
      <c r="G91" s="5"/>
      <c r="H91" s="5"/>
      <c r="I91" s="5"/>
      <c r="J91" s="5"/>
      <c r="K91" s="5"/>
      <c r="L91" s="5"/>
    </row>
    <row r="92" spans="5:12">
      <c r="E92" s="5"/>
      <c r="F92" s="5"/>
      <c r="G92" s="5"/>
      <c r="H92" s="5"/>
      <c r="I92" s="5"/>
      <c r="J92" s="5"/>
      <c r="K92" s="5"/>
      <c r="L92" s="5"/>
    </row>
    <row r="93" spans="5:12">
      <c r="E93" s="5"/>
      <c r="F93" s="5"/>
      <c r="G93" s="5"/>
      <c r="H93" s="5"/>
      <c r="I93" s="5"/>
      <c r="J93" s="5"/>
      <c r="K93" s="5"/>
      <c r="L93" s="5"/>
    </row>
    <row r="94" spans="5:12">
      <c r="E94" s="5"/>
      <c r="F94" s="5"/>
      <c r="G94" s="5"/>
      <c r="H94" s="5"/>
      <c r="I94" s="5"/>
      <c r="J94" s="5"/>
      <c r="K94" s="5"/>
      <c r="L94" s="5"/>
    </row>
    <row r="95" spans="5:12">
      <c r="E95" s="5"/>
      <c r="F95" s="5"/>
      <c r="G95" s="5"/>
      <c r="H95" s="5"/>
      <c r="I95" s="5"/>
      <c r="J95" s="5"/>
      <c r="K95" s="5"/>
      <c r="L95" s="5"/>
    </row>
    <row r="96" spans="5:12">
      <c r="E96" s="5"/>
      <c r="F96" s="5"/>
      <c r="G96" s="5"/>
      <c r="H96" s="5"/>
      <c r="I96" s="5"/>
      <c r="J96" s="5"/>
      <c r="K96" s="5"/>
      <c r="L96" s="5"/>
    </row>
  </sheetData>
  <mergeCells count="1">
    <mergeCell ref="L6:L8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1"/>
  <sheetViews>
    <sheetView workbookViewId="0">
      <selection activeCell="M9" sqref="M9"/>
    </sheetView>
  </sheetViews>
  <sheetFormatPr defaultRowHeight="12.75"/>
  <cols>
    <col min="1" max="1" width="5.140625" customWidth="1"/>
    <col min="2" max="2" width="15.5703125" customWidth="1"/>
    <col min="11" max="11" width="15" customWidth="1"/>
  </cols>
  <sheetData>
    <row r="3" spans="1:11">
      <c r="A3" s="5"/>
      <c r="B3" s="5"/>
      <c r="C3" s="6"/>
      <c r="D3" s="5"/>
      <c r="E3" s="5"/>
      <c r="F3" s="5"/>
      <c r="G3" s="5"/>
      <c r="H3" s="5"/>
      <c r="I3" s="5"/>
      <c r="J3" s="5"/>
      <c r="K3" s="5"/>
    </row>
    <row r="4" spans="1:11">
      <c r="A4" s="5"/>
      <c r="B4" s="5"/>
      <c r="C4" s="6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6"/>
      <c r="D5" s="5"/>
      <c r="E5" s="5"/>
      <c r="F5" s="5"/>
      <c r="G5" s="5"/>
      <c r="H5" s="5"/>
      <c r="I5" s="5"/>
      <c r="J5" s="5"/>
      <c r="K5" s="5"/>
    </row>
    <row r="6" spans="1:11">
      <c r="A6" s="5"/>
      <c r="B6" s="5"/>
      <c r="C6" s="6"/>
      <c r="D6" s="5"/>
      <c r="E6" s="5"/>
      <c r="F6" s="7"/>
      <c r="G6" s="5"/>
      <c r="H6" s="5"/>
      <c r="I6" s="5"/>
      <c r="J6" s="5"/>
      <c r="K6" s="5"/>
    </row>
    <row r="7" spans="1:11">
      <c r="A7" s="5"/>
      <c r="B7" s="5"/>
      <c r="C7" s="6"/>
      <c r="D7" s="5"/>
      <c r="E7" s="5"/>
      <c r="F7" s="5"/>
      <c r="G7" s="5"/>
      <c r="H7" s="5"/>
      <c r="I7" s="5"/>
      <c r="J7" s="5"/>
      <c r="K7" s="8"/>
    </row>
    <row r="8" spans="1:11">
      <c r="A8" s="5"/>
      <c r="B8" s="5"/>
      <c r="C8" s="6"/>
      <c r="D8" s="5"/>
      <c r="E8" s="5"/>
      <c r="F8" s="5"/>
      <c r="G8" s="5"/>
      <c r="H8" s="5"/>
      <c r="I8" s="5"/>
      <c r="J8" s="5"/>
      <c r="K8" s="5"/>
    </row>
    <row r="9" spans="1:11">
      <c r="A9" s="5"/>
      <c r="B9" s="5"/>
      <c r="C9" s="6"/>
      <c r="D9" s="5"/>
      <c r="E9" s="5"/>
      <c r="F9" s="5"/>
      <c r="G9" s="5"/>
      <c r="H9" s="5"/>
      <c r="I9" s="5"/>
      <c r="J9" s="5"/>
      <c r="K9" s="8"/>
    </row>
    <row r="10" spans="1:11">
      <c r="A10" s="5"/>
      <c r="B10" s="5"/>
      <c r="C10" s="6"/>
      <c r="D10" s="5"/>
      <c r="E10" s="5"/>
      <c r="F10" s="5"/>
      <c r="G10" s="5"/>
      <c r="H10" s="5"/>
      <c r="I10" s="5"/>
      <c r="J10" s="5"/>
      <c r="K10" s="9"/>
    </row>
    <row r="11" spans="1:11">
      <c r="A11" s="5"/>
      <c r="B11" s="5"/>
      <c r="C11" s="6"/>
      <c r="D11" s="5"/>
      <c r="E11" s="5"/>
      <c r="F11" s="5"/>
      <c r="G11" s="5"/>
      <c r="H11" s="5"/>
      <c r="I11" s="5"/>
      <c r="J11" s="5"/>
      <c r="K11" s="9"/>
    </row>
    <row r="12" spans="1:11">
      <c r="A12" s="5"/>
      <c r="B12" s="5"/>
      <c r="C12" s="6"/>
      <c r="D12" s="5"/>
      <c r="E12" s="5"/>
      <c r="F12" s="5"/>
      <c r="G12" s="5"/>
      <c r="H12" s="5"/>
      <c r="I12" s="5"/>
      <c r="J12" s="5"/>
      <c r="K12" s="9"/>
    </row>
    <row r="13" spans="1:11">
      <c r="A13" s="5"/>
      <c r="B13" s="5"/>
      <c r="C13" s="6"/>
      <c r="D13" s="5"/>
      <c r="E13" s="5"/>
      <c r="F13" s="5"/>
      <c r="G13" s="5"/>
      <c r="H13" s="5"/>
      <c r="I13" s="5"/>
      <c r="J13" s="5"/>
      <c r="K13" s="9"/>
    </row>
    <row r="14" spans="1:11">
      <c r="A14" s="5"/>
      <c r="B14" s="5"/>
      <c r="C14" s="6"/>
      <c r="D14" s="5"/>
      <c r="E14" s="5"/>
      <c r="F14" s="5"/>
      <c r="G14" s="5"/>
      <c r="H14" s="5"/>
      <c r="I14" s="5"/>
      <c r="J14" s="5"/>
      <c r="K14" s="9"/>
    </row>
    <row r="15" spans="1:11">
      <c r="A15" s="5"/>
      <c r="B15" s="5"/>
      <c r="C15" s="6"/>
      <c r="D15" s="5"/>
      <c r="E15" s="5"/>
      <c r="F15" s="5"/>
      <c r="G15" s="5"/>
      <c r="H15" s="5"/>
      <c r="I15" s="5"/>
      <c r="J15" s="5"/>
      <c r="K15" s="9"/>
    </row>
    <row r="16" spans="1:11">
      <c r="A16" s="5"/>
      <c r="B16" s="5"/>
      <c r="C16" s="6"/>
      <c r="D16" s="5"/>
      <c r="E16" s="5"/>
      <c r="F16" s="5"/>
      <c r="G16" s="5"/>
      <c r="H16" s="5"/>
      <c r="I16" s="5"/>
      <c r="J16" s="5"/>
      <c r="K16" s="9"/>
    </row>
    <row r="17" spans="1:11">
      <c r="A17" s="5"/>
      <c r="B17" s="5"/>
      <c r="C17" s="6"/>
      <c r="D17" s="5"/>
      <c r="E17" s="5"/>
      <c r="F17" s="5"/>
      <c r="G17" s="5"/>
      <c r="H17" s="5"/>
      <c r="I17" s="5"/>
      <c r="J17" s="5"/>
      <c r="K17" s="9"/>
    </row>
    <row r="18" spans="1:11">
      <c r="A18" s="5"/>
      <c r="B18" s="5"/>
      <c r="C18" s="6"/>
      <c r="D18" s="5"/>
      <c r="E18" s="5"/>
      <c r="F18" s="5"/>
      <c r="G18" s="5"/>
      <c r="H18" s="5"/>
      <c r="I18" s="5"/>
      <c r="J18" s="5"/>
      <c r="K18" s="9"/>
    </row>
    <row r="19" spans="1:11">
      <c r="A19" s="5"/>
      <c r="B19" s="5"/>
      <c r="C19" s="6"/>
      <c r="D19" s="5"/>
      <c r="E19" s="5"/>
      <c r="F19" s="5"/>
      <c r="G19" s="5"/>
      <c r="H19" s="5"/>
      <c r="I19" s="5"/>
      <c r="J19" s="5"/>
      <c r="K19" s="9"/>
    </row>
    <row r="20" spans="1:11">
      <c r="A20" s="5"/>
      <c r="B20" s="5"/>
      <c r="C20" s="6"/>
      <c r="D20" s="5"/>
      <c r="E20" s="5"/>
      <c r="F20" s="5"/>
      <c r="G20" s="5"/>
      <c r="H20" s="5"/>
      <c r="I20" s="5"/>
      <c r="J20" s="5"/>
      <c r="K20" s="9"/>
    </row>
    <row r="21" spans="1:11">
      <c r="A21" s="5"/>
      <c r="B21" s="5"/>
      <c r="C21" s="6"/>
      <c r="D21" s="5"/>
      <c r="E21" s="5"/>
      <c r="F21" s="5"/>
      <c r="G21" s="5"/>
      <c r="H21" s="5"/>
      <c r="I21" s="5"/>
      <c r="J21" s="5"/>
      <c r="K21" s="9"/>
    </row>
    <row r="22" spans="1:11">
      <c r="A22" s="5"/>
      <c r="B22" s="5"/>
      <c r="C22" s="6"/>
      <c r="D22" s="5"/>
      <c r="E22" s="5"/>
      <c r="F22" s="5"/>
      <c r="G22" s="5"/>
      <c r="H22" s="5"/>
      <c r="I22" s="5"/>
      <c r="J22" s="5"/>
      <c r="K22" s="9"/>
    </row>
    <row r="23" spans="1:11">
      <c r="A23" s="5"/>
      <c r="B23" s="5"/>
      <c r="C23" s="6"/>
      <c r="D23" s="5"/>
      <c r="E23" s="5"/>
      <c r="F23" s="5"/>
      <c r="G23" s="5"/>
      <c r="H23" s="5"/>
      <c r="I23" s="5"/>
      <c r="J23" s="5"/>
      <c r="K23" s="9"/>
    </row>
    <row r="24" spans="1:11">
      <c r="A24" s="5"/>
      <c r="B24" s="5"/>
      <c r="C24" s="6"/>
      <c r="D24" s="5"/>
      <c r="E24" s="5"/>
      <c r="F24" s="5"/>
      <c r="G24" s="5"/>
      <c r="H24" s="5"/>
      <c r="I24" s="5"/>
      <c r="J24" s="5"/>
      <c r="K24" s="9"/>
    </row>
    <row r="25" spans="1:11">
      <c r="A25" s="5"/>
      <c r="B25" s="5"/>
      <c r="C25" s="6"/>
      <c r="D25" s="5"/>
      <c r="E25" s="5"/>
      <c r="F25" s="5"/>
      <c r="G25" s="5"/>
      <c r="H25" s="5"/>
      <c r="I25" s="5"/>
      <c r="J25" s="5"/>
      <c r="K25" s="9"/>
    </row>
    <row r="26" spans="1:11">
      <c r="A26" s="5"/>
      <c r="B26" s="5"/>
      <c r="C26" s="6"/>
      <c r="D26" s="5"/>
      <c r="E26" s="5"/>
      <c r="F26" s="5"/>
      <c r="G26" s="5"/>
      <c r="H26" s="5"/>
      <c r="I26" s="5"/>
      <c r="J26" s="5"/>
      <c r="K26" s="9"/>
    </row>
    <row r="27" spans="1:11">
      <c r="A27" s="5"/>
      <c r="B27" s="5"/>
      <c r="C27" s="6"/>
      <c r="D27" s="5"/>
      <c r="E27" s="5"/>
      <c r="F27" s="5"/>
      <c r="G27" s="5"/>
      <c r="H27" s="5"/>
      <c r="I27" s="5"/>
      <c r="J27" s="5"/>
      <c r="K27" s="9"/>
    </row>
    <row r="28" spans="1:11">
      <c r="A28" s="5"/>
      <c r="B28" s="5"/>
      <c r="C28" s="6"/>
      <c r="D28" s="5"/>
      <c r="E28" s="5"/>
      <c r="F28" s="5"/>
      <c r="G28" s="5"/>
      <c r="H28" s="5"/>
      <c r="I28" s="5"/>
      <c r="J28" s="5"/>
      <c r="K28" s="9"/>
    </row>
    <row r="29" spans="1:11">
      <c r="A29" s="5"/>
      <c r="B29" s="5"/>
      <c r="C29" s="6"/>
      <c r="D29" s="5"/>
      <c r="E29" s="5"/>
      <c r="F29" s="5"/>
      <c r="G29" s="5"/>
      <c r="H29" s="5"/>
      <c r="I29" s="5"/>
      <c r="J29" s="5"/>
      <c r="K29" s="9"/>
    </row>
    <row r="30" spans="1:11">
      <c r="A30" s="5"/>
      <c r="B30" s="5"/>
      <c r="C30" s="6"/>
      <c r="D30" s="5"/>
      <c r="E30" s="5"/>
      <c r="F30" s="5"/>
      <c r="G30" s="5"/>
      <c r="H30" s="5"/>
      <c r="I30" s="5"/>
      <c r="J30" s="5"/>
      <c r="K30" s="9"/>
    </row>
    <row r="31" spans="1:11">
      <c r="A31" s="5"/>
      <c r="B31" s="5"/>
      <c r="C31" s="6"/>
      <c r="D31" s="5"/>
      <c r="E31" s="5"/>
      <c r="F31" s="5"/>
      <c r="G31" s="5"/>
      <c r="H31" s="5"/>
      <c r="I31" s="5"/>
      <c r="J31" s="5"/>
      <c r="K31" s="9"/>
    </row>
    <row r="32" spans="1:11">
      <c r="A32" s="5"/>
      <c r="B32" s="5"/>
      <c r="C32" s="6"/>
      <c r="D32" s="5"/>
      <c r="E32" s="5"/>
      <c r="F32" s="5"/>
      <c r="G32" s="5"/>
      <c r="H32" s="5"/>
      <c r="I32" s="5"/>
      <c r="J32" s="5"/>
      <c r="K32" s="9"/>
    </row>
    <row r="33" spans="1:11">
      <c r="A33" s="5"/>
      <c r="B33" s="5"/>
      <c r="C33" s="6"/>
      <c r="D33" s="5"/>
      <c r="E33" s="5"/>
      <c r="F33" s="5"/>
      <c r="G33" s="5"/>
      <c r="H33" s="5"/>
      <c r="I33" s="5"/>
      <c r="J33" s="5"/>
      <c r="K33" s="9"/>
    </row>
    <row r="34" spans="1:11">
      <c r="A34" s="5"/>
      <c r="B34" s="5"/>
      <c r="C34" s="6"/>
      <c r="D34" s="5"/>
      <c r="E34" s="5"/>
      <c r="F34" s="5"/>
      <c r="G34" s="5"/>
      <c r="H34" s="5"/>
      <c r="I34" s="5"/>
      <c r="J34" s="5"/>
      <c r="K34" s="9"/>
    </row>
    <row r="35" spans="1:11">
      <c r="A35" s="5"/>
      <c r="B35" s="5"/>
      <c r="C35" s="6"/>
      <c r="D35" s="5"/>
      <c r="E35" s="5"/>
      <c r="F35" s="5"/>
      <c r="G35" s="5"/>
      <c r="H35" s="5"/>
      <c r="I35" s="5"/>
      <c r="J35" s="5"/>
      <c r="K35" s="9"/>
    </row>
    <row r="36" spans="1:11">
      <c r="A36" s="5"/>
      <c r="B36" s="5"/>
      <c r="C36" s="6"/>
      <c r="D36" s="5"/>
      <c r="E36" s="5"/>
      <c r="F36" s="5"/>
      <c r="G36" s="5"/>
      <c r="H36" s="5"/>
      <c r="I36" s="5"/>
      <c r="J36" s="5"/>
      <c r="K36" s="9"/>
    </row>
    <row r="37" spans="1:11">
      <c r="A37" s="5"/>
      <c r="B37" s="5"/>
      <c r="C37" s="6"/>
      <c r="D37" s="5"/>
      <c r="E37" s="5"/>
      <c r="F37" s="5"/>
      <c r="G37" s="5"/>
      <c r="H37" s="5"/>
      <c r="I37" s="5"/>
      <c r="J37" s="5"/>
      <c r="K37" s="9"/>
    </row>
    <row r="38" spans="1:11">
      <c r="A38" s="5"/>
      <c r="B38" s="5"/>
      <c r="C38" s="6"/>
      <c r="D38" s="5"/>
      <c r="E38" s="5"/>
      <c r="F38" s="5"/>
      <c r="G38" s="5"/>
      <c r="H38" s="5"/>
      <c r="I38" s="5"/>
      <c r="J38" s="5"/>
      <c r="K38" s="9"/>
    </row>
    <row r="39" spans="1:11">
      <c r="A39" s="5"/>
      <c r="B39" s="5"/>
      <c r="C39" s="6"/>
      <c r="D39" s="5"/>
      <c r="E39" s="5"/>
      <c r="F39" s="5"/>
      <c r="G39" s="5"/>
      <c r="H39" s="5"/>
      <c r="I39" s="5"/>
      <c r="J39" s="5"/>
      <c r="K39" s="9"/>
    </row>
    <row r="40" spans="1:11">
      <c r="A40" s="5"/>
      <c r="B40" s="5"/>
      <c r="C40" s="6"/>
      <c r="D40" s="5"/>
      <c r="E40" s="5"/>
      <c r="F40" s="5"/>
      <c r="G40" s="5"/>
      <c r="H40" s="5"/>
      <c r="I40" s="5"/>
      <c r="J40" s="5"/>
      <c r="K40" s="9"/>
    </row>
    <row r="41" spans="1:11">
      <c r="A41" s="5"/>
      <c r="B41" s="5"/>
      <c r="C41" s="6"/>
      <c r="D41" s="5"/>
      <c r="E41" s="5"/>
      <c r="F41" s="5"/>
      <c r="G41" s="5"/>
      <c r="H41" s="5"/>
      <c r="I41" s="5"/>
      <c r="J41" s="5"/>
      <c r="K41" s="9"/>
    </row>
    <row r="42" spans="1:11">
      <c r="A42" s="5"/>
      <c r="B42" s="5"/>
      <c r="C42" s="6"/>
      <c r="D42" s="5"/>
      <c r="E42" s="5"/>
      <c r="F42" s="5"/>
      <c r="G42" s="5"/>
      <c r="H42" s="5"/>
      <c r="I42" s="5"/>
      <c r="J42" s="5"/>
      <c r="K42" s="9"/>
    </row>
    <row r="43" spans="1:11">
      <c r="A43" s="5"/>
      <c r="B43" s="5"/>
      <c r="C43" s="6"/>
      <c r="D43" s="5"/>
      <c r="E43" s="5"/>
      <c r="F43" s="5"/>
      <c r="G43" s="5"/>
      <c r="H43" s="5"/>
      <c r="I43" s="5"/>
      <c r="J43" s="5"/>
      <c r="K43" s="9"/>
    </row>
    <row r="44" spans="1:11">
      <c r="A44" s="5"/>
      <c r="B44" s="5"/>
      <c r="C44" s="6"/>
      <c r="D44" s="5"/>
      <c r="E44" s="5"/>
      <c r="F44" s="5"/>
      <c r="G44" s="5"/>
      <c r="H44" s="5"/>
      <c r="I44" s="5"/>
      <c r="J44" s="5"/>
      <c r="K44" s="9"/>
    </row>
    <row r="45" spans="1:11">
      <c r="A45" s="5"/>
      <c r="B45" s="5"/>
      <c r="C45" s="6"/>
      <c r="D45" s="5"/>
      <c r="E45" s="5"/>
      <c r="F45" s="5"/>
      <c r="G45" s="5"/>
      <c r="H45" s="5"/>
      <c r="I45" s="5"/>
      <c r="J45" s="5"/>
      <c r="K45" s="9"/>
    </row>
    <row r="46" spans="1:11">
      <c r="A46" s="5"/>
      <c r="B46" s="5"/>
      <c r="C46" s="6"/>
      <c r="D46" s="5"/>
      <c r="E46" s="5"/>
      <c r="F46" s="5"/>
      <c r="G46" s="5"/>
      <c r="H46" s="5"/>
      <c r="I46" s="5"/>
      <c r="J46" s="5"/>
      <c r="K46" s="9"/>
    </row>
    <row r="47" spans="1:11">
      <c r="A47" s="5"/>
      <c r="B47" s="5"/>
      <c r="C47" s="6"/>
      <c r="D47" s="5"/>
      <c r="E47" s="5"/>
      <c r="F47" s="5"/>
      <c r="G47" s="5"/>
      <c r="H47" s="5"/>
      <c r="I47" s="5"/>
      <c r="J47" s="5"/>
      <c r="K47" s="9"/>
    </row>
    <row r="48" spans="1:11">
      <c r="A48" s="5"/>
      <c r="B48" s="5"/>
      <c r="C48" s="6"/>
      <c r="D48" s="5"/>
      <c r="E48" s="5"/>
      <c r="F48" s="5"/>
      <c r="G48" s="5"/>
      <c r="H48" s="5"/>
      <c r="I48" s="5"/>
      <c r="J48" s="5"/>
      <c r="K48" s="9"/>
    </row>
    <row r="49" spans="1:11">
      <c r="A49" s="5"/>
      <c r="B49" s="5"/>
      <c r="C49" s="6"/>
      <c r="D49" s="5"/>
      <c r="E49" s="5"/>
      <c r="F49" s="5"/>
      <c r="G49" s="5"/>
      <c r="H49" s="5"/>
      <c r="I49" s="5"/>
      <c r="J49" s="5"/>
      <c r="K49" s="9"/>
    </row>
    <row r="50" spans="1:11">
      <c r="A50" s="5"/>
      <c r="B50" s="5"/>
      <c r="C50" s="6"/>
      <c r="D50" s="5"/>
      <c r="E50" s="5"/>
      <c r="F50" s="5"/>
      <c r="G50" s="5"/>
      <c r="H50" s="5"/>
      <c r="I50" s="5"/>
      <c r="J50" s="5"/>
      <c r="K50" s="9"/>
    </row>
    <row r="51" spans="1:11">
      <c r="A51" s="5"/>
      <c r="B51" s="5"/>
      <c r="C51" s="6"/>
      <c r="D51" s="5"/>
      <c r="E51" s="5"/>
      <c r="F51" s="5"/>
      <c r="G51" s="5"/>
      <c r="H51" s="5"/>
      <c r="I51" s="5"/>
      <c r="J51" s="5"/>
      <c r="K51" s="9"/>
    </row>
    <row r="52" spans="1:11">
      <c r="A52" s="5"/>
      <c r="B52" s="5"/>
      <c r="C52" s="6"/>
      <c r="D52" s="5"/>
      <c r="E52" s="5"/>
      <c r="F52" s="5"/>
      <c r="G52" s="5"/>
      <c r="H52" s="5"/>
      <c r="I52" s="5"/>
      <c r="J52" s="5"/>
      <c r="K52" s="9"/>
    </row>
    <row r="53" spans="1:11">
      <c r="A53" s="5"/>
      <c r="B53" s="5"/>
      <c r="C53" s="6"/>
      <c r="D53" s="5"/>
      <c r="E53" s="5"/>
      <c r="F53" s="5"/>
      <c r="G53" s="5"/>
      <c r="H53" s="5"/>
      <c r="I53" s="5"/>
      <c r="J53" s="5"/>
      <c r="K53" s="9"/>
    </row>
    <row r="54" spans="1:11">
      <c r="A54" s="5"/>
      <c r="B54" s="5"/>
      <c r="C54" s="6"/>
      <c r="D54" s="5"/>
      <c r="E54" s="5"/>
      <c r="F54" s="5"/>
      <c r="G54" s="5"/>
      <c r="H54" s="5"/>
      <c r="I54" s="5"/>
      <c r="J54" s="5"/>
      <c r="K54" s="9"/>
    </row>
    <row r="55" spans="1:11">
      <c r="A55" s="5"/>
      <c r="B55" s="5"/>
      <c r="C55" s="6"/>
      <c r="D55" s="5"/>
      <c r="E55" s="5"/>
      <c r="F55" s="5"/>
      <c r="G55" s="5"/>
      <c r="H55" s="5"/>
      <c r="I55" s="5"/>
      <c r="J55" s="5"/>
      <c r="K55" s="9"/>
    </row>
    <row r="56" spans="1:11">
      <c r="A56" s="5"/>
      <c r="B56" s="5"/>
      <c r="C56" s="6"/>
      <c r="D56" s="5"/>
      <c r="E56" s="5"/>
      <c r="F56" s="5"/>
      <c r="G56" s="5"/>
      <c r="H56" s="5"/>
      <c r="I56" s="5"/>
      <c r="J56" s="5"/>
      <c r="K56" s="9"/>
    </row>
    <row r="57" spans="1:11">
      <c r="A57" s="5"/>
      <c r="B57" s="5"/>
      <c r="C57" s="6"/>
      <c r="D57" s="5"/>
      <c r="E57" s="5"/>
      <c r="F57" s="5"/>
      <c r="G57" s="5"/>
      <c r="H57" s="5"/>
      <c r="I57" s="5"/>
      <c r="J57" s="5"/>
      <c r="K57" s="9"/>
    </row>
    <row r="58" spans="1:11">
      <c r="A58" s="5"/>
      <c r="B58" s="5"/>
      <c r="C58" s="6"/>
      <c r="D58" s="5"/>
      <c r="E58" s="5"/>
      <c r="F58" s="5"/>
      <c r="G58" s="5"/>
      <c r="H58" s="5"/>
      <c r="I58" s="5"/>
      <c r="J58" s="5"/>
      <c r="K58" s="9"/>
    </row>
    <row r="59" spans="1:11">
      <c r="A59" s="5"/>
      <c r="B59" s="5"/>
      <c r="C59" s="6"/>
      <c r="D59" s="5"/>
      <c r="E59" s="5"/>
      <c r="F59" s="5"/>
      <c r="G59" s="5"/>
      <c r="H59" s="5"/>
      <c r="I59" s="5"/>
      <c r="J59" s="5"/>
      <c r="K59" s="9"/>
    </row>
    <row r="60" spans="1:11">
      <c r="A60" s="5"/>
      <c r="B60" s="5"/>
      <c r="C60" s="10"/>
      <c r="D60" s="5"/>
      <c r="E60" s="5"/>
      <c r="F60" s="5"/>
      <c r="G60" s="5"/>
      <c r="H60" s="5"/>
      <c r="I60" s="5"/>
      <c r="J60" s="5"/>
      <c r="K60" s="9"/>
    </row>
    <row r="61" spans="1:11">
      <c r="A61" s="5"/>
      <c r="B61" s="5"/>
      <c r="C61" s="6"/>
      <c r="D61" s="5"/>
      <c r="E61" s="5"/>
      <c r="F61" s="5"/>
      <c r="G61" s="5"/>
      <c r="H61" s="5"/>
      <c r="I61" s="5"/>
      <c r="J61" s="5"/>
      <c r="K61" s="9"/>
    </row>
    <row r="62" spans="1:11">
      <c r="A62" s="5"/>
      <c r="B62" s="5"/>
      <c r="C62" s="6"/>
      <c r="D62" s="5"/>
      <c r="E62" s="5"/>
      <c r="F62" s="5"/>
      <c r="G62" s="5"/>
      <c r="H62" s="5"/>
      <c r="I62" s="5"/>
      <c r="J62" s="5"/>
      <c r="K62" s="9"/>
    </row>
    <row r="63" spans="1:11">
      <c r="A63" s="11"/>
      <c r="B63" s="11"/>
      <c r="C63" s="6"/>
      <c r="D63" s="11"/>
      <c r="E63" s="11"/>
      <c r="F63" s="11"/>
      <c r="G63" s="11"/>
      <c r="H63" s="11"/>
      <c r="I63" s="11"/>
      <c r="J63" s="11"/>
      <c r="K63" s="9"/>
    </row>
    <row r="64" spans="1:11">
      <c r="A64" s="5"/>
      <c r="B64" s="5"/>
      <c r="C64" s="6"/>
      <c r="D64" s="11"/>
      <c r="E64" s="5"/>
      <c r="F64" s="11"/>
      <c r="G64" s="11"/>
      <c r="H64" s="11"/>
      <c r="I64" s="5"/>
      <c r="J64" s="11"/>
      <c r="K64" s="9"/>
    </row>
    <row r="65" spans="1:11">
      <c r="A65" s="5"/>
      <c r="B65" s="5"/>
      <c r="C65" s="6"/>
      <c r="D65" s="11"/>
      <c r="E65" s="5"/>
      <c r="F65" s="11"/>
      <c r="G65" s="11"/>
      <c r="H65" s="11"/>
      <c r="I65" s="5"/>
      <c r="J65" s="11"/>
      <c r="K65" s="9"/>
    </row>
    <row r="66" spans="1:11">
      <c r="A66" s="5"/>
      <c r="B66" s="5"/>
      <c r="C66" s="6"/>
      <c r="D66" s="11"/>
      <c r="E66" s="5"/>
      <c r="F66" s="11"/>
      <c r="G66" s="11"/>
      <c r="H66" s="11"/>
      <c r="I66" s="5"/>
      <c r="J66" s="11"/>
      <c r="K66" s="9"/>
    </row>
    <row r="67" spans="1:11">
      <c r="A67" s="5"/>
      <c r="B67" s="5"/>
      <c r="C67" s="6"/>
      <c r="D67" s="11"/>
      <c r="E67" s="5"/>
      <c r="F67" s="11"/>
      <c r="G67" s="11"/>
      <c r="H67" s="11"/>
      <c r="I67" s="5"/>
      <c r="J67" s="11"/>
      <c r="K67" s="9"/>
    </row>
    <row r="68" spans="1:11">
      <c r="A68" s="5"/>
      <c r="B68" s="5"/>
      <c r="C68" s="10"/>
      <c r="D68" s="11"/>
      <c r="E68" s="5"/>
      <c r="F68" s="11"/>
      <c r="G68" s="11"/>
      <c r="H68" s="11"/>
      <c r="I68" s="5"/>
      <c r="J68" s="11"/>
      <c r="K68" s="9"/>
    </row>
    <row r="69" spans="1:11">
      <c r="A69" s="5"/>
      <c r="B69" s="5"/>
      <c r="C69" s="6"/>
      <c r="D69" s="11"/>
      <c r="E69" s="5"/>
      <c r="F69" s="11"/>
      <c r="G69" s="5"/>
      <c r="H69" s="11"/>
      <c r="I69" s="5"/>
      <c r="J69" s="11"/>
      <c r="K69" s="9"/>
    </row>
    <row r="70" spans="1:11">
      <c r="A70" s="5"/>
      <c r="B70" s="5"/>
      <c r="C70" s="6"/>
      <c r="D70" s="11"/>
      <c r="E70" s="5"/>
      <c r="F70" s="11"/>
      <c r="G70" s="5"/>
      <c r="H70" s="11"/>
      <c r="I70" s="5"/>
      <c r="J70" s="11"/>
      <c r="K70" s="9"/>
    </row>
    <row r="71" spans="1:11">
      <c r="A71" s="5"/>
      <c r="B71" s="5"/>
      <c r="C71" s="6"/>
      <c r="D71" s="11"/>
      <c r="E71" s="5"/>
      <c r="F71" s="11"/>
      <c r="G71" s="11"/>
      <c r="H71" s="11"/>
      <c r="I71" s="5"/>
      <c r="J71" s="11"/>
      <c r="K71" s="9"/>
    </row>
    <row r="72" spans="1:11">
      <c r="A72" s="5"/>
      <c r="B72" s="5"/>
      <c r="C72" s="6"/>
      <c r="D72" s="11"/>
      <c r="E72" s="5"/>
      <c r="F72" s="11"/>
      <c r="G72" s="11"/>
      <c r="H72" s="11"/>
      <c r="I72" s="5"/>
      <c r="J72" s="11"/>
      <c r="K72" s="9"/>
    </row>
    <row r="73" spans="1:11">
      <c r="A73" s="5"/>
      <c r="B73" s="5"/>
      <c r="C73" s="6"/>
      <c r="D73" s="11"/>
      <c r="E73" s="5"/>
      <c r="F73" s="11"/>
      <c r="G73" s="11"/>
      <c r="H73" s="11"/>
      <c r="I73" s="5"/>
      <c r="J73" s="11"/>
      <c r="K73" s="9"/>
    </row>
    <row r="74" spans="1:11">
      <c r="A74" s="5"/>
      <c r="B74" s="5"/>
      <c r="C74" s="6"/>
      <c r="D74" s="11"/>
      <c r="E74" s="5"/>
      <c r="F74" s="11"/>
      <c r="G74" s="11"/>
      <c r="H74" s="11"/>
      <c r="I74" s="5"/>
      <c r="J74" s="11"/>
      <c r="K74" s="9"/>
    </row>
    <row r="75" spans="1:11">
      <c r="A75" s="5"/>
      <c r="B75" s="5"/>
      <c r="C75" s="6"/>
      <c r="D75" s="11"/>
      <c r="E75" s="5"/>
      <c r="F75" s="11"/>
      <c r="G75" s="11"/>
      <c r="H75" s="11"/>
      <c r="I75" s="5"/>
      <c r="J75" s="11"/>
      <c r="K75" s="9"/>
    </row>
    <row r="76" spans="1:11">
      <c r="A76" s="5"/>
      <c r="B76" s="5"/>
      <c r="C76" s="6"/>
      <c r="D76" s="11"/>
      <c r="E76" s="5"/>
      <c r="F76" s="11"/>
      <c r="G76" s="11"/>
      <c r="H76" s="11"/>
      <c r="I76" s="5"/>
      <c r="J76" s="11"/>
      <c r="K76" s="9"/>
    </row>
    <row r="77" spans="1:11">
      <c r="A77" s="5"/>
      <c r="B77" s="5"/>
      <c r="C77" s="6"/>
      <c r="D77" s="11"/>
      <c r="E77" s="5"/>
      <c r="F77" s="11"/>
      <c r="G77" s="11"/>
      <c r="H77" s="11"/>
      <c r="I77" s="5"/>
      <c r="J77" s="11"/>
      <c r="K77" s="9"/>
    </row>
    <row r="78" spans="1:11">
      <c r="A78" s="5"/>
      <c r="B78" s="5"/>
      <c r="C78" s="6"/>
      <c r="D78" s="11"/>
      <c r="E78" s="5"/>
      <c r="F78" s="11"/>
      <c r="G78" s="11"/>
      <c r="H78" s="11"/>
      <c r="I78" s="5"/>
      <c r="J78" s="11"/>
      <c r="K78" s="9"/>
    </row>
    <row r="79" spans="1:11">
      <c r="A79" s="7"/>
      <c r="B79" s="12"/>
      <c r="C79" s="13"/>
      <c r="D79" s="7"/>
      <c r="E79" s="7"/>
      <c r="F79" s="7"/>
      <c r="G79" s="7"/>
      <c r="H79" s="7"/>
      <c r="I79" s="7"/>
      <c r="J79" s="7"/>
      <c r="K79" s="14"/>
    </row>
    <row r="80" spans="1:11">
      <c r="C80" s="1"/>
    </row>
    <row r="81" spans="3:3">
      <c r="C81" s="1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</vt:lpstr>
      <vt:lpstr>Лист1</vt:lpstr>
      <vt:lpstr>Лист3</vt:lpstr>
    </vt:vector>
  </TitlesOfParts>
  <Company>unattend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2015-04-18T10:06:05Z</cp:lastPrinted>
  <dcterms:created xsi:type="dcterms:W3CDTF">2011-03-29T06:42:05Z</dcterms:created>
  <dcterms:modified xsi:type="dcterms:W3CDTF">2015-04-20T09:53:58Z</dcterms:modified>
</cp:coreProperties>
</file>