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50" windowHeight="7755"/>
  </bookViews>
  <sheets>
    <sheet name="2014" sheetId="2" r:id="rId1"/>
    <sheet name="Лист1" sheetId="1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L45" i="2"/>
  <c r="L11"/>
  <c r="L79"/>
  <c r="L76"/>
  <c r="K76"/>
  <c r="J76"/>
  <c r="H76"/>
  <c r="G76"/>
  <c r="F76"/>
  <c r="D76"/>
  <c r="L75"/>
  <c r="K75"/>
  <c r="J75"/>
  <c r="H75"/>
  <c r="G75"/>
  <c r="F75"/>
  <c r="D75"/>
  <c r="F78"/>
  <c r="L78"/>
  <c r="H78"/>
  <c r="G78"/>
  <c r="D78"/>
  <c r="F77"/>
  <c r="L77"/>
  <c r="H77"/>
  <c r="G77"/>
  <c r="D77"/>
  <c r="F74"/>
  <c r="L74"/>
  <c r="H74"/>
  <c r="G74"/>
  <c r="D74"/>
  <c r="F73"/>
  <c r="L73"/>
  <c r="H73"/>
  <c r="G73"/>
  <c r="D73"/>
  <c r="F72"/>
  <c r="L72"/>
  <c r="H72"/>
  <c r="G72"/>
  <c r="D72"/>
  <c r="F71"/>
  <c r="L71"/>
  <c r="H71"/>
  <c r="G71"/>
  <c r="D71"/>
  <c r="F70"/>
  <c r="L70"/>
  <c r="H70"/>
  <c r="G70"/>
  <c r="D70"/>
  <c r="F69"/>
  <c r="L69"/>
  <c r="G69"/>
  <c r="H69"/>
  <c r="K69"/>
  <c r="J69"/>
  <c r="F68"/>
  <c r="L68"/>
  <c r="H68"/>
  <c r="G68"/>
  <c r="D68"/>
  <c r="F67"/>
  <c r="L67"/>
  <c r="H67"/>
  <c r="G67"/>
  <c r="D67"/>
  <c r="F66"/>
  <c r="L66"/>
  <c r="H66"/>
  <c r="G66"/>
  <c r="D66"/>
  <c r="F65"/>
  <c r="L65"/>
  <c r="H65"/>
  <c r="G65"/>
  <c r="D65"/>
  <c r="F64"/>
  <c r="L64"/>
  <c r="H64"/>
  <c r="G64"/>
  <c r="D64"/>
  <c r="F63"/>
  <c r="L63"/>
  <c r="H63"/>
  <c r="G63"/>
  <c r="D63"/>
  <c r="F62"/>
  <c r="L62"/>
  <c r="H62"/>
  <c r="G62"/>
  <c r="D62"/>
  <c r="F61"/>
  <c r="L61"/>
  <c r="H61"/>
  <c r="G61"/>
  <c r="D61"/>
  <c r="F60"/>
  <c r="L60"/>
  <c r="H60"/>
  <c r="G60"/>
  <c r="D60"/>
  <c r="F59"/>
  <c r="L59"/>
  <c r="H59"/>
  <c r="G59"/>
  <c r="D59"/>
  <c r="F58"/>
  <c r="L58"/>
  <c r="H58"/>
  <c r="G58"/>
  <c r="D58"/>
  <c r="F57"/>
  <c r="L57"/>
  <c r="H57"/>
  <c r="G57"/>
  <c r="D57"/>
  <c r="F56"/>
  <c r="L56"/>
  <c r="H56"/>
  <c r="G56"/>
  <c r="D56"/>
  <c r="F55"/>
  <c r="L55"/>
  <c r="H55"/>
  <c r="G55"/>
  <c r="D55"/>
  <c r="F54"/>
  <c r="L54"/>
  <c r="H54"/>
  <c r="G54"/>
  <c r="D54"/>
  <c r="F53"/>
  <c r="L53"/>
  <c r="H53"/>
  <c r="G53"/>
  <c r="D53"/>
  <c r="F52"/>
  <c r="L52"/>
  <c r="H52"/>
  <c r="G52"/>
  <c r="D52"/>
  <c r="F51"/>
  <c r="L51"/>
  <c r="H51"/>
  <c r="G51"/>
  <c r="D51"/>
  <c r="F50"/>
  <c r="L50"/>
  <c r="H50"/>
  <c r="G50"/>
  <c r="D50"/>
  <c r="F49"/>
  <c r="L49"/>
  <c r="H49"/>
  <c r="G49"/>
  <c r="D49"/>
  <c r="F48"/>
  <c r="L48"/>
  <c r="H48"/>
  <c r="G48"/>
  <c r="D48"/>
  <c r="F47"/>
  <c r="L47"/>
  <c r="H47"/>
  <c r="G47"/>
  <c r="D47"/>
  <c r="F46"/>
  <c r="L46"/>
  <c r="H46"/>
  <c r="G46"/>
  <c r="D46"/>
  <c r="F42"/>
  <c r="L42"/>
  <c r="G45"/>
  <c r="F45"/>
  <c r="D45"/>
  <c r="F44"/>
  <c r="L44"/>
  <c r="H44"/>
  <c r="G44"/>
  <c r="D44"/>
  <c r="F43"/>
  <c r="L43"/>
  <c r="H43"/>
  <c r="G43"/>
  <c r="D43"/>
  <c r="H42"/>
  <c r="G42"/>
  <c r="D42"/>
  <c r="F41"/>
  <c r="L41"/>
  <c r="H41"/>
  <c r="G41"/>
  <c r="D41"/>
  <c r="F40"/>
  <c r="L40"/>
  <c r="H40"/>
  <c r="G40"/>
  <c r="D40"/>
  <c r="F39"/>
  <c r="L39"/>
  <c r="H39"/>
  <c r="G39"/>
  <c r="D39"/>
  <c r="F38"/>
  <c r="L38"/>
  <c r="H38"/>
  <c r="G38"/>
  <c r="D38"/>
  <c r="F37"/>
  <c r="L37"/>
  <c r="H37"/>
  <c r="G37"/>
  <c r="D37"/>
  <c r="F36"/>
  <c r="L36"/>
  <c r="H36"/>
  <c r="G36"/>
  <c r="D36"/>
  <c r="F35"/>
  <c r="L35"/>
  <c r="H35"/>
  <c r="G35"/>
  <c r="D35"/>
  <c r="F33"/>
  <c r="L33"/>
  <c r="H33"/>
  <c r="G33"/>
  <c r="D33"/>
  <c r="F32"/>
  <c r="L32"/>
  <c r="H32"/>
  <c r="G32"/>
  <c r="D32"/>
  <c r="F31"/>
  <c r="L31"/>
  <c r="H31"/>
  <c r="G31"/>
  <c r="D31"/>
  <c r="F30"/>
  <c r="L30"/>
  <c r="H30"/>
  <c r="G30"/>
  <c r="D30"/>
  <c r="F29"/>
  <c r="L29"/>
  <c r="H29"/>
  <c r="G29"/>
  <c r="D29"/>
  <c r="F28"/>
  <c r="L28"/>
  <c r="H28"/>
  <c r="G28"/>
  <c r="D28"/>
  <c r="F27"/>
  <c r="L27"/>
  <c r="H27"/>
  <c r="G27"/>
  <c r="D27"/>
  <c r="F26"/>
  <c r="L26"/>
  <c r="H26"/>
  <c r="G26"/>
  <c r="D26"/>
  <c r="F25"/>
  <c r="L25"/>
  <c r="H25"/>
  <c r="G25"/>
  <c r="D25"/>
  <c r="F24"/>
  <c r="L24"/>
  <c r="H24"/>
  <c r="D24"/>
  <c r="F23"/>
  <c r="L23"/>
  <c r="H23"/>
  <c r="G23"/>
  <c r="D23"/>
  <c r="F22"/>
  <c r="L22"/>
  <c r="H22"/>
  <c r="G22"/>
  <c r="D22"/>
  <c r="F21"/>
  <c r="L21"/>
  <c r="H21"/>
  <c r="G21"/>
  <c r="D21"/>
  <c r="F20"/>
  <c r="L20"/>
  <c r="H20"/>
  <c r="G20"/>
  <c r="D20"/>
  <c r="F19"/>
  <c r="L19"/>
  <c r="H19"/>
  <c r="G19"/>
  <c r="D19"/>
  <c r="F18"/>
  <c r="L18"/>
  <c r="H18"/>
  <c r="G18"/>
  <c r="D18"/>
  <c r="F17"/>
  <c r="L17"/>
  <c r="H17"/>
  <c r="G17"/>
  <c r="D17"/>
  <c r="F16"/>
  <c r="L16"/>
  <c r="H16"/>
  <c r="G16"/>
  <c r="D16"/>
  <c r="F15"/>
  <c r="L15"/>
  <c r="H15"/>
  <c r="G15"/>
  <c r="D15"/>
  <c r="F14"/>
  <c r="L14"/>
  <c r="H14"/>
  <c r="G14"/>
  <c r="D14"/>
  <c r="F13"/>
  <c r="L13"/>
  <c r="H13"/>
  <c r="G13"/>
  <c r="D13"/>
  <c r="F12"/>
  <c r="L12"/>
  <c r="H12"/>
  <c r="G12"/>
  <c r="D12"/>
  <c r="H11"/>
  <c r="F11"/>
  <c r="D11"/>
  <c r="F10"/>
  <c r="L10"/>
  <c r="H10"/>
  <c r="G10"/>
  <c r="D10"/>
  <c r="F9"/>
  <c r="L9"/>
  <c r="H9"/>
  <c r="G9"/>
  <c r="D9"/>
  <c r="L34"/>
  <c r="H45"/>
  <c r="H34"/>
  <c r="H79"/>
  <c r="J78"/>
  <c r="K77"/>
  <c r="J74"/>
  <c r="K73"/>
  <c r="J72"/>
  <c r="K71"/>
  <c r="J70"/>
  <c r="K68"/>
  <c r="J67"/>
  <c r="K66"/>
  <c r="J65"/>
  <c r="K64"/>
  <c r="J63"/>
  <c r="K62"/>
  <c r="J61"/>
  <c r="K60"/>
  <c r="J59"/>
  <c r="K58"/>
  <c r="J57"/>
  <c r="K56"/>
  <c r="J55"/>
  <c r="K54"/>
  <c r="J53"/>
  <c r="K52"/>
  <c r="J51"/>
  <c r="K50"/>
  <c r="J49"/>
  <c r="K48"/>
  <c r="J47"/>
  <c r="K46"/>
  <c r="J45"/>
  <c r="K44"/>
  <c r="J43"/>
  <c r="K42"/>
  <c r="J41"/>
  <c r="K40"/>
  <c r="J39"/>
  <c r="K38"/>
  <c r="J37"/>
  <c r="K36"/>
  <c r="J35"/>
  <c r="G34"/>
  <c r="F34"/>
  <c r="K34"/>
  <c r="J33"/>
  <c r="K32"/>
  <c r="J31"/>
  <c r="K30"/>
  <c r="J29"/>
  <c r="K28"/>
  <c r="J27"/>
  <c r="K26"/>
  <c r="J25"/>
  <c r="G24"/>
  <c r="K24"/>
  <c r="J23"/>
  <c r="K22"/>
  <c r="J21"/>
  <c r="K20"/>
  <c r="J19"/>
  <c r="K18"/>
  <c r="J17"/>
  <c r="K16"/>
  <c r="J15"/>
  <c r="K14"/>
  <c r="J13"/>
  <c r="K12"/>
  <c r="G11"/>
  <c r="J11"/>
  <c r="K10"/>
  <c r="J9"/>
  <c r="F79"/>
  <c r="D34"/>
  <c r="D79"/>
  <c r="J10"/>
  <c r="J12"/>
  <c r="J14"/>
  <c r="J16"/>
  <c r="J18"/>
  <c r="J20"/>
  <c r="J22"/>
  <c r="J24"/>
  <c r="J26"/>
  <c r="J28"/>
  <c r="J30"/>
  <c r="J32"/>
  <c r="J34"/>
  <c r="J36"/>
  <c r="J38"/>
  <c r="J40"/>
  <c r="J42"/>
  <c r="J44"/>
  <c r="J46"/>
  <c r="J48"/>
  <c r="J50"/>
  <c r="J52"/>
  <c r="J54"/>
  <c r="J56"/>
  <c r="J58"/>
  <c r="J60"/>
  <c r="J62"/>
  <c r="J64"/>
  <c r="J66"/>
  <c r="J68"/>
  <c r="J71"/>
  <c r="J73"/>
  <c r="J77"/>
  <c r="K9"/>
  <c r="K11"/>
  <c r="K13"/>
  <c r="K15"/>
  <c r="K17"/>
  <c r="K19"/>
  <c r="K21"/>
  <c r="K23"/>
  <c r="K25"/>
  <c r="K27"/>
  <c r="K29"/>
  <c r="K31"/>
  <c r="K33"/>
  <c r="K35"/>
  <c r="K37"/>
  <c r="K39"/>
  <c r="K41"/>
  <c r="K43"/>
  <c r="K45"/>
  <c r="K47"/>
  <c r="K49"/>
  <c r="K51"/>
  <c r="K53"/>
  <c r="K55"/>
  <c r="K57"/>
  <c r="K59"/>
  <c r="K61"/>
  <c r="K63"/>
  <c r="K65"/>
  <c r="K67"/>
  <c r="K70"/>
  <c r="K72"/>
  <c r="K74"/>
  <c r="K78"/>
  <c r="G79"/>
</calcChain>
</file>

<file path=xl/comments1.xml><?xml version="1.0" encoding="utf-8"?>
<comments xmlns="http://schemas.openxmlformats.org/spreadsheetml/2006/main">
  <authors>
    <author>OEM</author>
  </authors>
  <commentList>
    <comment ref="C63" authorId="0">
      <text>
        <r>
          <rPr>
            <b/>
            <sz val="8"/>
            <color indexed="81"/>
            <rFont val="Tahoma"/>
            <charset val="204"/>
          </rPr>
          <t>OEM: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<sst xmlns="http://schemas.openxmlformats.org/spreadsheetml/2006/main" count="109" uniqueCount="56">
  <si>
    <t>(по данным раздельного учета доходов и расходов)</t>
  </si>
  <si>
    <t xml:space="preserve">       Оборот за период</t>
  </si>
  <si>
    <t>Уровень</t>
  </si>
  <si>
    <t>Уровень оплаты</t>
  </si>
  <si>
    <t>№</t>
  </si>
  <si>
    <t>Улица</t>
  </si>
  <si>
    <t>Дом</t>
  </si>
  <si>
    <t xml:space="preserve">      периода</t>
  </si>
  <si>
    <t xml:space="preserve">     периода</t>
  </si>
  <si>
    <t>оплаты,</t>
  </si>
  <si>
    <t>с учетом деб.</t>
  </si>
  <si>
    <t>Дебет</t>
  </si>
  <si>
    <t>Кредит</t>
  </si>
  <si>
    <t>Начислено</t>
  </si>
  <si>
    <t>Оплачено</t>
  </si>
  <si>
    <t>%</t>
  </si>
  <si>
    <t>зад-ти, %</t>
  </si>
  <si>
    <t xml:space="preserve">   Сальдо на начало</t>
  </si>
  <si>
    <t xml:space="preserve">     Сальдо на конец</t>
  </si>
  <si>
    <t>Расходы по оказанию услуг управления</t>
  </si>
  <si>
    <t>Хохрякова</t>
  </si>
  <si>
    <t>2а</t>
  </si>
  <si>
    <t>2б</t>
  </si>
  <si>
    <t>4а</t>
  </si>
  <si>
    <t>6а</t>
  </si>
  <si>
    <t>8а</t>
  </si>
  <si>
    <t>10а</t>
  </si>
  <si>
    <t>12а</t>
  </si>
  <si>
    <t>14а</t>
  </si>
  <si>
    <t>22а</t>
  </si>
  <si>
    <t>30А</t>
  </si>
  <si>
    <t>Чоппа</t>
  </si>
  <si>
    <t>ул.Мамина</t>
  </si>
  <si>
    <t>21Б</t>
  </si>
  <si>
    <t>27а</t>
  </si>
  <si>
    <t>ул.Вязовая</t>
  </si>
  <si>
    <t>Танкистов</t>
  </si>
  <si>
    <t>40а</t>
  </si>
  <si>
    <t>ул.Комарова</t>
  </si>
  <si>
    <t>133а</t>
  </si>
  <si>
    <t>ул.Бажова</t>
  </si>
  <si>
    <t xml:space="preserve">ул.Октябрьская </t>
  </si>
  <si>
    <t>ул. Трашутина</t>
  </si>
  <si>
    <t xml:space="preserve">ул.Трашутина </t>
  </si>
  <si>
    <t>ул.Эльтонская 2-ая</t>
  </si>
  <si>
    <t>ул.Зальцмана</t>
  </si>
  <si>
    <t>26а</t>
  </si>
  <si>
    <t>ул. Зальцмана</t>
  </si>
  <si>
    <t>ул.Загорская</t>
  </si>
  <si>
    <t>3я Щербаковская</t>
  </si>
  <si>
    <t>пер.4й Томский</t>
  </si>
  <si>
    <t>пер. 1 бульварный</t>
  </si>
  <si>
    <t>Сведения о расходах,полученных за оказание услуг по управлению многоквартирными домами ООО УК "Альтернатива" в 2015г.</t>
  </si>
  <si>
    <t>Пр.Ленина</t>
  </si>
  <si>
    <t>12А</t>
  </si>
  <si>
    <t>Сергея Герасимова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</si>
</sst>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b/>
      <sz val="10"/>
      <name val="Arial Cyr"/>
      <charset val="204"/>
    </font>
    <font>
      <b/>
      <sz val="8"/>
      <color indexed="81"/>
      <name val="Tahoma"/>
      <charset val="204"/>
    </font>
    <font>
      <sz val="8"/>
      <color indexed="81"/>
      <name val="Tahoma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color indexed="10"/>
      <name val="Arial Cyr"/>
      <charset val="204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NumberForma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NumberFormat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164" fontId="0" fillId="0" borderId="0" xfId="0" applyNumberFormat="1" applyBorder="1"/>
    <xf numFmtId="16" fontId="0" fillId="0" borderId="0" xfId="0" applyNumberFormat="1" applyBorder="1" applyAlignment="1">
      <alignment horizontal="center"/>
    </xf>
    <xf numFmtId="0" fontId="0" fillId="0" borderId="0" xfId="0" applyNumberFormat="1" applyBorder="1"/>
    <xf numFmtId="0" fontId="1" fillId="0" borderId="0" xfId="0" applyFont="1" applyFill="1" applyBorder="1"/>
    <xf numFmtId="0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0" fontId="4" fillId="0" borderId="3" xfId="0" applyFont="1" applyBorder="1"/>
    <xf numFmtId="0" fontId="4" fillId="0" borderId="1" xfId="0" applyFont="1" applyBorder="1"/>
    <xf numFmtId="0" fontId="4" fillId="0" borderId="4" xfId="0" applyNumberFormat="1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15" xfId="0" applyFont="1" applyBorder="1" applyAlignment="1">
      <alignment horizontal="center"/>
    </xf>
    <xf numFmtId="2" fontId="4" fillId="0" borderId="16" xfId="0" applyNumberFormat="1" applyFont="1" applyBorder="1"/>
    <xf numFmtId="0" fontId="4" fillId="0" borderId="2" xfId="0" applyFont="1" applyBorder="1"/>
    <xf numFmtId="2" fontId="4" fillId="0" borderId="17" xfId="0" applyNumberFormat="1" applyFont="1" applyBorder="1"/>
    <xf numFmtId="0" fontId="0" fillId="0" borderId="18" xfId="0" applyBorder="1"/>
    <xf numFmtId="0" fontId="0" fillId="0" borderId="19" xfId="0" applyBorder="1"/>
    <xf numFmtId="0" fontId="1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22" xfId="0" applyNumberFormat="1" applyFont="1" applyBorder="1"/>
    <xf numFmtId="0" fontId="8" fillId="0" borderId="23" xfId="0" applyFont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2" fontId="4" fillId="0" borderId="25" xfId="0" applyNumberFormat="1" applyFont="1" applyBorder="1"/>
    <xf numFmtId="4" fontId="8" fillId="0" borderId="3" xfId="0" applyNumberFormat="1" applyFont="1" applyBorder="1"/>
    <xf numFmtId="4" fontId="8" fillId="0" borderId="26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9" fillId="0" borderId="2" xfId="0" applyNumberFormat="1" applyFont="1" applyBorder="1"/>
    <xf numFmtId="4" fontId="1" fillId="0" borderId="19" xfId="0" applyNumberFormat="1" applyFont="1" applyBorder="1"/>
    <xf numFmtId="0" fontId="1" fillId="0" borderId="19" xfId="0" applyFont="1" applyBorder="1"/>
    <xf numFmtId="0" fontId="4" fillId="0" borderId="4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8"/>
  <sheetViews>
    <sheetView tabSelected="1" workbookViewId="0">
      <selection activeCell="D83" sqref="D83"/>
    </sheetView>
  </sheetViews>
  <sheetFormatPr defaultRowHeight="12.75"/>
  <cols>
    <col min="1" max="1" width="3.7109375" customWidth="1"/>
    <col min="2" max="2" width="16.140625" customWidth="1"/>
    <col min="3" max="3" width="6.42578125" customWidth="1"/>
    <col min="4" max="4" width="19.140625" customWidth="1"/>
    <col min="6" max="6" width="12.28515625" customWidth="1"/>
    <col min="7" max="7" width="20.140625" customWidth="1"/>
    <col min="8" max="8" width="13.28515625" customWidth="1"/>
    <col min="9" max="9" width="9.7109375" customWidth="1"/>
    <col min="10" max="10" width="10" customWidth="1"/>
    <col min="11" max="11" width="13.85546875" customWidth="1"/>
    <col min="12" max="12" width="13.7109375" customWidth="1"/>
  </cols>
  <sheetData>
    <row r="2" spans="1:15">
      <c r="B2" s="37"/>
      <c r="D2" s="38"/>
      <c r="E2" s="37"/>
    </row>
    <row r="3" spans="1:15">
      <c r="B3" s="37" t="s">
        <v>52</v>
      </c>
      <c r="C3" s="38"/>
      <c r="D3" s="37"/>
      <c r="E3" s="37"/>
      <c r="L3" s="36"/>
    </row>
    <row r="4" spans="1:15">
      <c r="C4" s="37" t="s">
        <v>0</v>
      </c>
      <c r="D4" s="37"/>
      <c r="E4" s="37"/>
    </row>
    <row r="5" spans="1:15" ht="13.5" thickBot="1">
      <c r="B5" s="37"/>
      <c r="C5" s="38"/>
      <c r="D5" s="46"/>
      <c r="E5" s="37"/>
      <c r="F5" s="2"/>
    </row>
    <row r="6" spans="1:15">
      <c r="A6" s="26"/>
      <c r="B6" s="26"/>
      <c r="C6" s="17"/>
      <c r="D6" s="35" t="s">
        <v>17</v>
      </c>
      <c r="E6" s="19"/>
      <c r="F6" s="18" t="s">
        <v>1</v>
      </c>
      <c r="G6" s="20"/>
      <c r="H6" s="18" t="s">
        <v>18</v>
      </c>
      <c r="I6" s="19"/>
      <c r="J6" s="27" t="s">
        <v>2</v>
      </c>
      <c r="K6" s="28" t="s">
        <v>3</v>
      </c>
      <c r="L6" s="75" t="s">
        <v>19</v>
      </c>
    </row>
    <row r="7" spans="1:15" ht="13.5" thickBot="1">
      <c r="A7" s="29" t="s">
        <v>4</v>
      </c>
      <c r="B7" s="29" t="s">
        <v>5</v>
      </c>
      <c r="C7" s="21" t="s">
        <v>6</v>
      </c>
      <c r="D7" s="22" t="s">
        <v>7</v>
      </c>
      <c r="E7" s="23"/>
      <c r="F7" s="22"/>
      <c r="G7" s="24"/>
      <c r="H7" s="22" t="s">
        <v>8</v>
      </c>
      <c r="I7" s="23"/>
      <c r="J7" s="40" t="s">
        <v>9</v>
      </c>
      <c r="K7" s="29" t="s">
        <v>10</v>
      </c>
      <c r="L7" s="76"/>
    </row>
    <row r="8" spans="1:15" ht="13.5" thickBot="1">
      <c r="A8" s="31"/>
      <c r="B8" s="31"/>
      <c r="C8" s="25"/>
      <c r="D8" s="32" t="s">
        <v>11</v>
      </c>
      <c r="E8" s="32" t="s">
        <v>12</v>
      </c>
      <c r="F8" s="32" t="s">
        <v>13</v>
      </c>
      <c r="G8" s="33" t="s">
        <v>14</v>
      </c>
      <c r="H8" s="32" t="s">
        <v>11</v>
      </c>
      <c r="I8" s="30" t="s">
        <v>12</v>
      </c>
      <c r="J8" s="30" t="s">
        <v>15</v>
      </c>
      <c r="K8" s="34" t="s">
        <v>16</v>
      </c>
      <c r="L8" s="76"/>
    </row>
    <row r="9" spans="1:15">
      <c r="A9" s="47">
        <v>1</v>
      </c>
      <c r="B9" s="48" t="s">
        <v>20</v>
      </c>
      <c r="C9" s="49">
        <v>2</v>
      </c>
      <c r="D9" s="50">
        <f>575314.09/100*8</f>
        <v>46025.127199999995</v>
      </c>
      <c r="E9" s="15"/>
      <c r="F9" s="50">
        <f>3220672.28/100*8</f>
        <v>257653.7824</v>
      </c>
      <c r="G9" s="50">
        <f>3096476.42/100*8</f>
        <v>247718.11359999998</v>
      </c>
      <c r="H9" s="67">
        <f>699509.95/100*8</f>
        <v>55960.795999999995</v>
      </c>
      <c r="I9" s="15"/>
      <c r="J9" s="41">
        <f>G9/F9*100</f>
        <v>96.143790823697216</v>
      </c>
      <c r="K9" s="62">
        <f>G9/(F9+H9)*100</f>
        <v>78.988073470247826</v>
      </c>
      <c r="L9" s="50">
        <f>F9</f>
        <v>257653.7824</v>
      </c>
      <c r="O9" s="39"/>
    </row>
    <row r="10" spans="1:15">
      <c r="A10" s="47">
        <v>2</v>
      </c>
      <c r="B10" s="48" t="s">
        <v>20</v>
      </c>
      <c r="C10" s="49" t="s">
        <v>21</v>
      </c>
      <c r="D10" s="50">
        <f>199639.42/100*8</f>
        <v>15971.153600000001</v>
      </c>
      <c r="E10" s="16"/>
      <c r="F10" s="50">
        <f>1680584.48/100*8</f>
        <v>134446.75839999999</v>
      </c>
      <c r="G10" s="50">
        <f>1657459.07/100*8</f>
        <v>132596.72560000001</v>
      </c>
      <c r="H10" s="67">
        <f>2227664.83/100*8</f>
        <v>178213.18640000001</v>
      </c>
      <c r="I10" s="16"/>
      <c r="J10" s="41">
        <f t="shared" ref="J10:J73" si="0">G10/F10*100</f>
        <v>98.62396622870159</v>
      </c>
      <c r="K10" s="62">
        <f t="shared" ref="K10:K73" si="1">G10/(F10+H10)*100</f>
        <v>42.409246149140884</v>
      </c>
      <c r="L10" s="50">
        <f>F10</f>
        <v>134446.75839999999</v>
      </c>
      <c r="O10" s="39"/>
    </row>
    <row r="11" spans="1:15">
      <c r="A11" s="47">
        <v>3</v>
      </c>
      <c r="B11" s="48" t="s">
        <v>20</v>
      </c>
      <c r="C11" s="49" t="s">
        <v>22</v>
      </c>
      <c r="D11" s="50">
        <f>165484.56/100*8</f>
        <v>13238.764799999999</v>
      </c>
      <c r="E11" s="16"/>
      <c r="F11" s="50">
        <f>719034.15/100*8</f>
        <v>57522.732000000004</v>
      </c>
      <c r="G11" s="50">
        <f>679058.31/100*8</f>
        <v>54324.664800000006</v>
      </c>
      <c r="H11" s="67">
        <f>691573.8/100*8</f>
        <v>55325.904000000002</v>
      </c>
      <c r="I11" s="16"/>
      <c r="J11" s="41">
        <f t="shared" si="0"/>
        <v>94.440341950378865</v>
      </c>
      <c r="K11" s="62">
        <f t="shared" si="1"/>
        <v>48.139407551190963</v>
      </c>
      <c r="L11" s="50">
        <f>F11</f>
        <v>57522.732000000004</v>
      </c>
      <c r="O11" s="39"/>
    </row>
    <row r="12" spans="1:15">
      <c r="A12" s="47">
        <v>4</v>
      </c>
      <c r="B12" s="48" t="s">
        <v>20</v>
      </c>
      <c r="C12" s="49">
        <v>4</v>
      </c>
      <c r="D12" s="50">
        <f>84099.94/100*8</f>
        <v>6727.9952000000003</v>
      </c>
      <c r="E12" s="16"/>
      <c r="F12" s="50">
        <f>612816.97/100*8</f>
        <v>49025.357599999996</v>
      </c>
      <c r="G12" s="50">
        <f>607228.48/100*8</f>
        <v>48578.278399999996</v>
      </c>
      <c r="H12" s="67">
        <f>89688.43/100*8</f>
        <v>7175.0743999999995</v>
      </c>
      <c r="I12" s="16"/>
      <c r="J12" s="41">
        <f t="shared" si="0"/>
        <v>99.088065397405686</v>
      </c>
      <c r="K12" s="62">
        <f t="shared" si="1"/>
        <v>86.437553362579138</v>
      </c>
      <c r="L12" s="50">
        <f t="shared" ref="L12:L28" si="2">F12</f>
        <v>49025.357599999996</v>
      </c>
      <c r="O12" s="39"/>
    </row>
    <row r="13" spans="1:15">
      <c r="A13" s="47">
        <v>5</v>
      </c>
      <c r="B13" s="48" t="s">
        <v>20</v>
      </c>
      <c r="C13" s="49" t="s">
        <v>23</v>
      </c>
      <c r="D13" s="50">
        <f>54760.27/100*8</f>
        <v>4380.8215999999993</v>
      </c>
      <c r="E13" s="16"/>
      <c r="F13" s="50">
        <f>805507.66/100*8</f>
        <v>64440.612800000003</v>
      </c>
      <c r="G13" s="50">
        <f>774989.95/100*8</f>
        <v>61999.195999999996</v>
      </c>
      <c r="H13" s="67">
        <f>85277.98/100*8</f>
        <v>6822.2383999999993</v>
      </c>
      <c r="I13" s="16"/>
      <c r="J13" s="41">
        <f t="shared" si="0"/>
        <v>96.21136936177615</v>
      </c>
      <c r="K13" s="62">
        <f t="shared" si="1"/>
        <v>87.00072331655457</v>
      </c>
      <c r="L13" s="50">
        <f t="shared" si="2"/>
        <v>64440.612800000003</v>
      </c>
      <c r="O13" s="39"/>
    </row>
    <row r="14" spans="1:15">
      <c r="A14" s="47">
        <v>6</v>
      </c>
      <c r="B14" s="48" t="s">
        <v>20</v>
      </c>
      <c r="C14" s="49">
        <v>6</v>
      </c>
      <c r="D14" s="50">
        <f>54010.05/100*8</f>
        <v>4320.8040000000001</v>
      </c>
      <c r="E14" s="16"/>
      <c r="F14" s="50">
        <f>594100.14/100*8</f>
        <v>47528.011200000001</v>
      </c>
      <c r="G14" s="50">
        <f>562488.39/100*8</f>
        <v>44999.071199999998</v>
      </c>
      <c r="H14" s="67">
        <f>85621.8/100*8</f>
        <v>6849.7440000000006</v>
      </c>
      <c r="I14" s="16"/>
      <c r="J14" s="41">
        <f t="shared" si="0"/>
        <v>94.679053601973564</v>
      </c>
      <c r="K14" s="62">
        <f t="shared" si="1"/>
        <v>82.752719442894545</v>
      </c>
      <c r="L14" s="50">
        <f t="shared" si="2"/>
        <v>47528.011200000001</v>
      </c>
      <c r="O14" s="39"/>
    </row>
    <row r="15" spans="1:15">
      <c r="A15" s="47">
        <v>7</v>
      </c>
      <c r="B15" s="48" t="s">
        <v>20</v>
      </c>
      <c r="C15" s="49" t="s">
        <v>24</v>
      </c>
      <c r="D15" s="50">
        <f>141472.1/100*8</f>
        <v>11317.768</v>
      </c>
      <c r="E15" s="16"/>
      <c r="F15" s="50">
        <f>569879.95/100*8</f>
        <v>45590.395999999993</v>
      </c>
      <c r="G15" s="50">
        <f>545742.27/100*8</f>
        <v>43659.381600000001</v>
      </c>
      <c r="H15" s="67">
        <f>165609.78/100*8</f>
        <v>13248.7824</v>
      </c>
      <c r="I15" s="16"/>
      <c r="J15" s="41">
        <f t="shared" si="0"/>
        <v>95.76442722717303</v>
      </c>
      <c r="K15" s="62">
        <f t="shared" si="1"/>
        <v>74.201208764668962</v>
      </c>
      <c r="L15" s="50">
        <f t="shared" si="2"/>
        <v>45590.395999999993</v>
      </c>
      <c r="O15" s="39"/>
    </row>
    <row r="16" spans="1:15">
      <c r="A16" s="47">
        <v>8</v>
      </c>
      <c r="B16" s="48" t="s">
        <v>20</v>
      </c>
      <c r="C16" s="49">
        <v>8</v>
      </c>
      <c r="D16" s="50">
        <f>30589.63/100*8</f>
        <v>2447.1704</v>
      </c>
      <c r="E16" s="16"/>
      <c r="F16" s="50">
        <f>606122.25/100*8</f>
        <v>48489.78</v>
      </c>
      <c r="G16" s="50">
        <f>591021.09/100*8</f>
        <v>47281.6872</v>
      </c>
      <c r="H16" s="67">
        <f>45690.79/100*8</f>
        <v>3655.2631999999999</v>
      </c>
      <c r="I16" s="16"/>
      <c r="J16" s="41">
        <f t="shared" si="0"/>
        <v>97.508562010386527</v>
      </c>
      <c r="K16" s="62">
        <f t="shared" si="1"/>
        <v>90.673406902077318</v>
      </c>
      <c r="L16" s="50">
        <f t="shared" si="2"/>
        <v>48489.78</v>
      </c>
      <c r="O16" s="39"/>
    </row>
    <row r="17" spans="1:15">
      <c r="A17" s="47">
        <v>9</v>
      </c>
      <c r="B17" s="48" t="s">
        <v>20</v>
      </c>
      <c r="C17" s="49" t="s">
        <v>25</v>
      </c>
      <c r="D17" s="50">
        <f>107409.05/100*8</f>
        <v>8592.7240000000002</v>
      </c>
      <c r="E17" s="16"/>
      <c r="F17" s="50">
        <f>739371.12/100*8</f>
        <v>59149.689599999998</v>
      </c>
      <c r="G17" s="50">
        <f>732390.05/100*8</f>
        <v>58591.204000000005</v>
      </c>
      <c r="H17" s="67">
        <f>114390.12/100*8</f>
        <v>9151.2096000000001</v>
      </c>
      <c r="I17" s="16"/>
      <c r="J17" s="41">
        <f t="shared" si="0"/>
        <v>99.055809753564645</v>
      </c>
      <c r="K17" s="62">
        <f t="shared" si="1"/>
        <v>85.783942358404559</v>
      </c>
      <c r="L17" s="50">
        <f t="shared" si="2"/>
        <v>59149.689599999998</v>
      </c>
      <c r="O17" s="39"/>
    </row>
    <row r="18" spans="1:15">
      <c r="A18" s="47">
        <v>10</v>
      </c>
      <c r="B18" s="48" t="s">
        <v>20</v>
      </c>
      <c r="C18" s="49">
        <v>10</v>
      </c>
      <c r="D18" s="50">
        <f>284592.89/100*8</f>
        <v>22767.431200000003</v>
      </c>
      <c r="E18" s="16"/>
      <c r="F18" s="50">
        <f>2727384.21/100*8</f>
        <v>218190.73679999998</v>
      </c>
      <c r="G18" s="50">
        <f>2628428.93/100*8</f>
        <v>210274.3144</v>
      </c>
      <c r="H18" s="67">
        <f>383548.17/100*8</f>
        <v>30683.853599999999</v>
      </c>
      <c r="I18" s="16"/>
      <c r="J18" s="41">
        <f t="shared" si="0"/>
        <v>96.371788043753483</v>
      </c>
      <c r="K18" s="62">
        <f t="shared" si="1"/>
        <v>84.49006950128566</v>
      </c>
      <c r="L18" s="50">
        <f t="shared" si="2"/>
        <v>218190.73679999998</v>
      </c>
      <c r="O18" s="39"/>
    </row>
    <row r="19" spans="1:15">
      <c r="A19" s="47">
        <v>11</v>
      </c>
      <c r="B19" s="48" t="s">
        <v>20</v>
      </c>
      <c r="C19" s="49" t="s">
        <v>26</v>
      </c>
      <c r="D19" s="50">
        <f>610837.42/100*8</f>
        <v>48866.993600000002</v>
      </c>
      <c r="E19" s="16"/>
      <c r="F19" s="50">
        <f>2551474.26/100*8</f>
        <v>204117.94079999998</v>
      </c>
      <c r="G19" s="50">
        <f>2376811.79/100*8</f>
        <v>190144.94320000001</v>
      </c>
      <c r="H19" s="67">
        <f>785499.89/100*8</f>
        <v>62839.991200000004</v>
      </c>
      <c r="I19" s="16"/>
      <c r="J19" s="41">
        <f t="shared" si="0"/>
        <v>93.154449067418781</v>
      </c>
      <c r="K19" s="62">
        <f t="shared" si="1"/>
        <v>71.226556849414024</v>
      </c>
      <c r="L19" s="50">
        <f t="shared" si="2"/>
        <v>204117.94079999998</v>
      </c>
      <c r="O19" s="39"/>
    </row>
    <row r="20" spans="1:15">
      <c r="A20" s="47">
        <v>12</v>
      </c>
      <c r="B20" s="48" t="s">
        <v>20</v>
      </c>
      <c r="C20" s="49">
        <v>12</v>
      </c>
      <c r="D20" s="50">
        <f>428827.46/100*8</f>
        <v>34306.196800000005</v>
      </c>
      <c r="E20" s="42"/>
      <c r="F20" s="50">
        <f>2720361.13/100*8</f>
        <v>217628.8904</v>
      </c>
      <c r="G20" s="50">
        <f>2587618.08/100*8</f>
        <v>207009.44640000002</v>
      </c>
      <c r="H20" s="68">
        <f>56570.51/100*8</f>
        <v>4525.6408000000001</v>
      </c>
      <c r="I20" s="42"/>
      <c r="J20" s="41">
        <f t="shared" si="0"/>
        <v>95.120388666926743</v>
      </c>
      <c r="K20" s="62">
        <f t="shared" si="1"/>
        <v>93.182635205236821</v>
      </c>
      <c r="L20" s="50">
        <f t="shared" si="2"/>
        <v>217628.8904</v>
      </c>
      <c r="O20" s="39"/>
    </row>
    <row r="21" spans="1:15">
      <c r="A21" s="47">
        <v>13</v>
      </c>
      <c r="B21" s="48" t="s">
        <v>20</v>
      </c>
      <c r="C21" s="49" t="s">
        <v>27</v>
      </c>
      <c r="D21" s="57">
        <f>333643.14/100*8</f>
        <v>26691.4512</v>
      </c>
      <c r="E21" s="59"/>
      <c r="F21" s="57">
        <f>2648874.9/100*8</f>
        <v>211909.992</v>
      </c>
      <c r="G21" s="50">
        <f>2637641.85/100*8</f>
        <v>211011.348</v>
      </c>
      <c r="H21" s="69">
        <f>344876.19/100*8</f>
        <v>27590.0952</v>
      </c>
      <c r="I21" s="59"/>
      <c r="J21" s="41">
        <f t="shared" si="0"/>
        <v>99.57593127557665</v>
      </c>
      <c r="K21" s="62">
        <f t="shared" si="1"/>
        <v>88.104914894577959</v>
      </c>
      <c r="L21" s="50">
        <f t="shared" si="2"/>
        <v>211909.992</v>
      </c>
    </row>
    <row r="22" spans="1:15">
      <c r="A22" s="47">
        <v>14</v>
      </c>
      <c r="B22" s="48" t="s">
        <v>20</v>
      </c>
      <c r="C22" s="49">
        <v>14</v>
      </c>
      <c r="D22" s="57">
        <f>57591.57/100*8</f>
        <v>4607.3256000000001</v>
      </c>
      <c r="E22" s="3"/>
      <c r="F22" s="57">
        <f>586023.34/100*8</f>
        <v>46881.867200000001</v>
      </c>
      <c r="G22" s="50">
        <f>578092.5/100*8</f>
        <v>46247.4</v>
      </c>
      <c r="H22" s="70">
        <f>65522.41/100*8</f>
        <v>5241.7928000000002</v>
      </c>
      <c r="I22" s="3"/>
      <c r="J22" s="41">
        <f t="shared" si="0"/>
        <v>98.646668236797524</v>
      </c>
      <c r="K22" s="62">
        <f t="shared" si="1"/>
        <v>88.726309702733843</v>
      </c>
      <c r="L22" s="50">
        <f t="shared" si="2"/>
        <v>46881.867200000001</v>
      </c>
    </row>
    <row r="23" spans="1:15">
      <c r="A23" s="47">
        <v>15</v>
      </c>
      <c r="B23" s="48" t="s">
        <v>20</v>
      </c>
      <c r="C23" s="49" t="s">
        <v>28</v>
      </c>
      <c r="D23" s="57">
        <f>149125.4/100*8</f>
        <v>11930.031999999999</v>
      </c>
      <c r="E23" s="3"/>
      <c r="F23" s="57">
        <f>739181.41/100*8</f>
        <v>59134.512800000004</v>
      </c>
      <c r="G23" s="50">
        <f>793047.85/100*8</f>
        <v>63443.828000000001</v>
      </c>
      <c r="H23" s="70">
        <f>95258.96/100*8</f>
        <v>7620.7168000000001</v>
      </c>
      <c r="I23" s="3"/>
      <c r="J23" s="41">
        <f t="shared" si="0"/>
        <v>107.287309890545</v>
      </c>
      <c r="K23" s="62">
        <f t="shared" si="1"/>
        <v>95.039487363249208</v>
      </c>
      <c r="L23" s="50">
        <f t="shared" si="2"/>
        <v>59134.512800000004</v>
      </c>
    </row>
    <row r="24" spans="1:15">
      <c r="A24" s="47">
        <v>16</v>
      </c>
      <c r="B24" s="48" t="s">
        <v>20</v>
      </c>
      <c r="C24" s="49">
        <v>16</v>
      </c>
      <c r="D24" s="57">
        <f>91427.9/100*8</f>
        <v>7314.232</v>
      </c>
      <c r="E24" s="3"/>
      <c r="F24" s="57">
        <f>597313.12/100*8</f>
        <v>47785.049599999998</v>
      </c>
      <c r="G24" s="50">
        <f>565737.64/100*8</f>
        <v>45259.011200000001</v>
      </c>
      <c r="H24" s="70">
        <f>119232.94/100*8</f>
        <v>9538.6352000000006</v>
      </c>
      <c r="I24" s="3"/>
      <c r="J24" s="41">
        <f t="shared" si="0"/>
        <v>94.713747456275527</v>
      </c>
      <c r="K24" s="62">
        <f t="shared" si="1"/>
        <v>78.953422756940427</v>
      </c>
      <c r="L24" s="50">
        <f t="shared" si="2"/>
        <v>47785.049599999998</v>
      </c>
    </row>
    <row r="25" spans="1:15">
      <c r="A25" s="47">
        <v>17</v>
      </c>
      <c r="B25" s="48" t="s">
        <v>20</v>
      </c>
      <c r="C25" s="49">
        <v>18</v>
      </c>
      <c r="D25" s="57">
        <f>124749.1/100*8</f>
        <v>9979.9279999999999</v>
      </c>
      <c r="E25" s="60"/>
      <c r="F25" s="57">
        <f>608040.07/100*8</f>
        <v>48643.205599999994</v>
      </c>
      <c r="G25" s="50">
        <f>593672.91/100*8</f>
        <v>47493.832800000004</v>
      </c>
      <c r="H25" s="70">
        <f>139116.26/100*8</f>
        <v>11129.300800000001</v>
      </c>
      <c r="I25" s="3"/>
      <c r="J25" s="41">
        <f t="shared" si="0"/>
        <v>97.637135986778006</v>
      </c>
      <c r="K25" s="62">
        <f t="shared" si="1"/>
        <v>79.457656471972882</v>
      </c>
      <c r="L25" s="50">
        <f t="shared" si="2"/>
        <v>48643.205599999994</v>
      </c>
    </row>
    <row r="26" spans="1:15">
      <c r="A26" s="47">
        <v>18</v>
      </c>
      <c r="B26" s="48" t="s">
        <v>20</v>
      </c>
      <c r="C26" s="49">
        <v>22</v>
      </c>
      <c r="D26" s="57">
        <f>363845.15/100*8</f>
        <v>29107.612000000001</v>
      </c>
      <c r="E26" s="60"/>
      <c r="F26" s="57">
        <f>3108653.26/100*8</f>
        <v>248692.26079999999</v>
      </c>
      <c r="G26" s="50">
        <f>2966378.35/100*8</f>
        <v>237310.26800000001</v>
      </c>
      <c r="H26" s="70">
        <f>506120.06/100*8</f>
        <v>40489.604800000001</v>
      </c>
      <c r="I26" s="3"/>
      <c r="J26" s="41">
        <f t="shared" si="0"/>
        <v>95.423262162084953</v>
      </c>
      <c r="K26" s="62">
        <f t="shared" si="1"/>
        <v>82.062638162882095</v>
      </c>
      <c r="L26" s="50">
        <f t="shared" si="2"/>
        <v>248692.26079999999</v>
      </c>
    </row>
    <row r="27" spans="1:15">
      <c r="A27" s="47">
        <v>19</v>
      </c>
      <c r="B27" s="48" t="s">
        <v>20</v>
      </c>
      <c r="C27" s="49" t="s">
        <v>29</v>
      </c>
      <c r="D27" s="57">
        <f>105161.02/100*8</f>
        <v>8412.8816000000006</v>
      </c>
      <c r="E27" s="60"/>
      <c r="F27" s="57">
        <f>1266997.18/100*8</f>
        <v>101359.77439999999</v>
      </c>
      <c r="G27" s="50">
        <f>1222370.63/100*8</f>
        <v>97789.650399999984</v>
      </c>
      <c r="H27" s="70">
        <f>149787.57/100*8</f>
        <v>11983.0056</v>
      </c>
      <c r="I27" s="3"/>
      <c r="J27" s="41">
        <f t="shared" si="0"/>
        <v>96.477770376726482</v>
      </c>
      <c r="K27" s="62">
        <f t="shared" si="1"/>
        <v>86.277794139159099</v>
      </c>
      <c r="L27" s="50">
        <f t="shared" si="2"/>
        <v>101359.77439999999</v>
      </c>
    </row>
    <row r="28" spans="1:15">
      <c r="A28" s="47">
        <v>20</v>
      </c>
      <c r="B28" s="48" t="s">
        <v>20</v>
      </c>
      <c r="C28" s="49">
        <v>24</v>
      </c>
      <c r="D28" s="57">
        <f>722309.58/100*8</f>
        <v>57784.766399999993</v>
      </c>
      <c r="E28" s="3"/>
      <c r="F28" s="57">
        <f>193518.15/100*8</f>
        <v>15481.451999999999</v>
      </c>
      <c r="G28" s="50">
        <f>801210.97/100*8</f>
        <v>64096.8776</v>
      </c>
      <c r="H28" s="70">
        <f>114616.76/100*8</f>
        <v>9169.3407999999999</v>
      </c>
      <c r="I28" s="3"/>
      <c r="J28" s="41">
        <f t="shared" si="0"/>
        <v>414.02368201638967</v>
      </c>
      <c r="K28" s="62">
        <f t="shared" si="1"/>
        <v>260.0195381951367</v>
      </c>
      <c r="L28" s="50">
        <f t="shared" si="2"/>
        <v>15481.451999999999</v>
      </c>
    </row>
    <row r="29" spans="1:15">
      <c r="A29" s="47">
        <v>21</v>
      </c>
      <c r="B29" s="48" t="s">
        <v>20</v>
      </c>
      <c r="C29" s="49">
        <v>26</v>
      </c>
      <c r="D29" s="57">
        <f>181966.41/100*8</f>
        <v>14557.3128</v>
      </c>
      <c r="E29" s="16"/>
      <c r="F29" s="57">
        <f>608850.87/100*8</f>
        <v>48708.069600000003</v>
      </c>
      <c r="G29" s="50">
        <f>613003.32/100*8</f>
        <v>49040.265599999999</v>
      </c>
      <c r="H29" s="69">
        <f>177813.96/100*8</f>
        <v>14225.1168</v>
      </c>
      <c r="I29" s="16"/>
      <c r="J29" s="41">
        <f t="shared" si="0"/>
        <v>100.68201430015202</v>
      </c>
      <c r="K29" s="62">
        <f t="shared" si="1"/>
        <v>77.924332780963397</v>
      </c>
      <c r="L29" s="50">
        <f>F29</f>
        <v>48708.069600000003</v>
      </c>
    </row>
    <row r="30" spans="1:15">
      <c r="A30" s="47">
        <v>22</v>
      </c>
      <c r="B30" s="48" t="s">
        <v>20</v>
      </c>
      <c r="C30" s="49">
        <v>28</v>
      </c>
      <c r="D30" s="57">
        <f>64381.2/100*8</f>
        <v>5150.4960000000001</v>
      </c>
      <c r="E30" s="16"/>
      <c r="F30" s="57">
        <f>599255.82/100*8</f>
        <v>47940.465599999996</v>
      </c>
      <c r="G30" s="50">
        <f>612361.69/100*8</f>
        <v>48988.935199999993</v>
      </c>
      <c r="H30" s="69">
        <f>51275.33/100*8</f>
        <v>4102.0263999999997</v>
      </c>
      <c r="I30" s="16"/>
      <c r="J30" s="41">
        <f t="shared" si="0"/>
        <v>102.18702423282262</v>
      </c>
      <c r="K30" s="62">
        <f t="shared" si="1"/>
        <v>94.132569977625195</v>
      </c>
      <c r="L30" s="50">
        <f>F30</f>
        <v>47940.465599999996</v>
      </c>
    </row>
    <row r="31" spans="1:15">
      <c r="A31" s="47">
        <v>23</v>
      </c>
      <c r="B31" s="48" t="s">
        <v>20</v>
      </c>
      <c r="C31" s="49">
        <v>30</v>
      </c>
      <c r="D31" s="57">
        <f>642324.01/100*8</f>
        <v>51385.9208</v>
      </c>
      <c r="E31" s="61"/>
      <c r="F31" s="57">
        <f>4328600.42/100*8</f>
        <v>346288.03359999997</v>
      </c>
      <c r="G31" s="50">
        <f>4081901.78/100*8</f>
        <v>326552.14240000001</v>
      </c>
      <c r="H31" s="71">
        <f>889022.65/100*8</f>
        <v>71121.812000000005</v>
      </c>
      <c r="I31" s="61"/>
      <c r="J31" s="41">
        <f t="shared" si="0"/>
        <v>94.3007296570932</v>
      </c>
      <c r="K31" s="62">
        <f t="shared" si="1"/>
        <v>78.232975537652251</v>
      </c>
      <c r="L31" s="50">
        <f>F31</f>
        <v>346288.03359999997</v>
      </c>
    </row>
    <row r="32" spans="1:15">
      <c r="A32" s="47">
        <v>24</v>
      </c>
      <c r="B32" s="48" t="s">
        <v>20</v>
      </c>
      <c r="C32" s="49" t="s">
        <v>30</v>
      </c>
      <c r="D32" s="57">
        <f>58387.33/100*8</f>
        <v>4670.9863999999998</v>
      </c>
      <c r="E32" s="16"/>
      <c r="F32" s="57">
        <f>1275247.11/100*8</f>
        <v>102019.76880000001</v>
      </c>
      <c r="G32" s="50">
        <f>1203766.24/100*8</f>
        <v>96301.299199999994</v>
      </c>
      <c r="H32" s="69">
        <f>129868.2/100*8</f>
        <v>10389.456</v>
      </c>
      <c r="I32" s="16"/>
      <c r="J32" s="41">
        <f t="shared" si="0"/>
        <v>94.394743619532676</v>
      </c>
      <c r="K32" s="62">
        <f t="shared" si="1"/>
        <v>85.670281394912692</v>
      </c>
      <c r="L32" s="50">
        <f>F32</f>
        <v>102019.76880000001</v>
      </c>
    </row>
    <row r="33" spans="1:12">
      <c r="A33" s="47">
        <v>25</v>
      </c>
      <c r="B33" s="48" t="s">
        <v>31</v>
      </c>
      <c r="C33" s="49">
        <v>1</v>
      </c>
      <c r="D33" s="57">
        <f>244206.02/100*8</f>
        <v>19536.481599999999</v>
      </c>
      <c r="E33" s="16"/>
      <c r="F33" s="57">
        <f>1206550.02/100*8</f>
        <v>96524.001600000003</v>
      </c>
      <c r="G33" s="50">
        <f>1161389.85/100*8</f>
        <v>92911.188000000009</v>
      </c>
      <c r="H33" s="69">
        <f>289366.19/100*8</f>
        <v>23149.2952</v>
      </c>
      <c r="I33" s="16"/>
      <c r="J33" s="41">
        <f t="shared" si="0"/>
        <v>96.257082652901545</v>
      </c>
      <c r="K33" s="62">
        <f t="shared" si="1"/>
        <v>77.637359782337015</v>
      </c>
      <c r="L33" s="50">
        <f>F33</f>
        <v>96524.001600000003</v>
      </c>
    </row>
    <row r="34" spans="1:12">
      <c r="A34" s="47">
        <v>26</v>
      </c>
      <c r="B34" s="48" t="s">
        <v>31</v>
      </c>
      <c r="C34" s="49">
        <v>2</v>
      </c>
      <c r="D34" s="57">
        <f>461267.65/100*8</f>
        <v>36901.412000000004</v>
      </c>
      <c r="E34" s="16"/>
      <c r="F34" s="57">
        <f>3194114.69/100*8</f>
        <v>255529.1752</v>
      </c>
      <c r="G34" s="50">
        <f>3110916.19/100*8</f>
        <v>248873.29519999999</v>
      </c>
      <c r="H34" s="69">
        <f>544466.15/100*8</f>
        <v>43557.292000000001</v>
      </c>
      <c r="I34" s="16"/>
      <c r="J34" s="41">
        <f t="shared" si="0"/>
        <v>97.395256336271387</v>
      </c>
      <c r="K34" s="62">
        <f t="shared" si="1"/>
        <v>83.211152122632711</v>
      </c>
      <c r="L34" s="50">
        <f>3194114.69/100*8</f>
        <v>255529.1752</v>
      </c>
    </row>
    <row r="35" spans="1:12">
      <c r="A35" s="47">
        <v>27</v>
      </c>
      <c r="B35" s="48" t="s">
        <v>31</v>
      </c>
      <c r="C35" s="49">
        <v>3</v>
      </c>
      <c r="D35" s="57">
        <f>297779.76/100*8</f>
        <v>23822.380799999999</v>
      </c>
      <c r="E35" s="16"/>
      <c r="F35" s="57">
        <f>1903944.19/100*8</f>
        <v>152315.53519999998</v>
      </c>
      <c r="G35" s="50">
        <f>1831960.45/100*8</f>
        <v>146556.83600000001</v>
      </c>
      <c r="H35" s="69">
        <f>369763.5/100*8</f>
        <v>29581.08</v>
      </c>
      <c r="I35" s="16"/>
      <c r="J35" s="41">
        <f t="shared" si="0"/>
        <v>96.219230564736264</v>
      </c>
      <c r="K35" s="62">
        <f t="shared" si="1"/>
        <v>80.57150257516173</v>
      </c>
      <c r="L35" s="50">
        <f t="shared" ref="L35:L78" si="3">F35</f>
        <v>152315.53519999998</v>
      </c>
    </row>
    <row r="36" spans="1:12">
      <c r="A36" s="47">
        <v>28</v>
      </c>
      <c r="B36" s="48" t="s">
        <v>31</v>
      </c>
      <c r="C36" s="49">
        <v>4</v>
      </c>
      <c r="D36" s="57">
        <f>67096.36/100*8</f>
        <v>5367.7088000000003</v>
      </c>
      <c r="E36" s="16"/>
      <c r="F36" s="57">
        <f>854449.67/100*8</f>
        <v>68355.973599999998</v>
      </c>
      <c r="G36" s="50">
        <f>863856.76/100*8</f>
        <v>69108.540800000002</v>
      </c>
      <c r="H36" s="69">
        <f>57689.27/100*8</f>
        <v>4615.1415999999999</v>
      </c>
      <c r="I36" s="16"/>
      <c r="J36" s="41">
        <f t="shared" si="0"/>
        <v>101.10095308480838</v>
      </c>
      <c r="K36" s="62">
        <f t="shared" si="1"/>
        <v>94.706707730293815</v>
      </c>
      <c r="L36" s="50">
        <f t="shared" si="3"/>
        <v>68355.973599999998</v>
      </c>
    </row>
    <row r="37" spans="1:12">
      <c r="A37" s="47">
        <v>29</v>
      </c>
      <c r="B37" s="48" t="s">
        <v>31</v>
      </c>
      <c r="C37" s="49">
        <v>5</v>
      </c>
      <c r="D37" s="57">
        <f>143464.61/100*8</f>
        <v>11477.168799999999</v>
      </c>
      <c r="E37" s="16"/>
      <c r="F37" s="57">
        <f>751109.58/100*8</f>
        <v>60088.766399999993</v>
      </c>
      <c r="G37" s="50">
        <f>713066.84/100*8</f>
        <v>57045.347199999997</v>
      </c>
      <c r="H37" s="69">
        <f>181507.35/100*8</f>
        <v>14520.588</v>
      </c>
      <c r="I37" s="16"/>
      <c r="J37" s="41">
        <f t="shared" si="0"/>
        <v>94.935127841133379</v>
      </c>
      <c r="K37" s="62">
        <f t="shared" si="1"/>
        <v>76.458706362965117</v>
      </c>
      <c r="L37" s="50">
        <f t="shared" si="3"/>
        <v>60088.766399999993</v>
      </c>
    </row>
    <row r="38" spans="1:12">
      <c r="A38" s="47">
        <v>30</v>
      </c>
      <c r="B38" s="48" t="s">
        <v>31</v>
      </c>
      <c r="C38" s="49">
        <v>6</v>
      </c>
      <c r="D38" s="57">
        <f>97393.52/100*8</f>
        <v>7791.4816000000001</v>
      </c>
      <c r="E38" s="16"/>
      <c r="F38" s="57">
        <f>736867.48/100*8</f>
        <v>58949.398399999998</v>
      </c>
      <c r="G38" s="50">
        <f>701495.44/100*8</f>
        <v>56119.635199999997</v>
      </c>
      <c r="H38" s="69">
        <f>132765.56/100*8</f>
        <v>10621.2448</v>
      </c>
      <c r="I38" s="16"/>
      <c r="J38" s="41">
        <f t="shared" si="0"/>
        <v>95.199674166649345</v>
      </c>
      <c r="K38" s="62">
        <f t="shared" si="1"/>
        <v>80.665683999310801</v>
      </c>
      <c r="L38" s="50">
        <f t="shared" si="3"/>
        <v>58949.398399999998</v>
      </c>
    </row>
    <row r="39" spans="1:12">
      <c r="A39" s="47">
        <v>31</v>
      </c>
      <c r="B39" s="48" t="s">
        <v>31</v>
      </c>
      <c r="C39" s="49">
        <v>7</v>
      </c>
      <c r="D39" s="57">
        <f>94926.02/100*8</f>
        <v>7594.0816000000004</v>
      </c>
      <c r="E39" s="16"/>
      <c r="F39" s="57">
        <f>747989.96/100*8</f>
        <v>59839.196799999998</v>
      </c>
      <c r="G39" s="50">
        <f>747927.18/100*8</f>
        <v>59834.174400000004</v>
      </c>
      <c r="H39" s="69">
        <f>94988.8/100*8</f>
        <v>7599.1040000000003</v>
      </c>
      <c r="I39" s="16"/>
      <c r="J39" s="41">
        <f t="shared" si="0"/>
        <v>99.991606839214811</v>
      </c>
      <c r="K39" s="62">
        <f t="shared" si="1"/>
        <v>88.724320883245028</v>
      </c>
      <c r="L39" s="50">
        <f t="shared" si="3"/>
        <v>59839.196799999998</v>
      </c>
    </row>
    <row r="40" spans="1:12">
      <c r="A40" s="47">
        <v>32</v>
      </c>
      <c r="B40" s="48" t="s">
        <v>31</v>
      </c>
      <c r="C40" s="49">
        <v>10</v>
      </c>
      <c r="D40" s="57">
        <f>368555.36/100*8</f>
        <v>29484.428799999998</v>
      </c>
      <c r="E40" s="16"/>
      <c r="F40" s="57">
        <f>1883983.2/100*8</f>
        <v>150718.65599999999</v>
      </c>
      <c r="G40" s="50">
        <f>1838768.97/100*8</f>
        <v>147101.51759999999</v>
      </c>
      <c r="H40" s="69">
        <f>413769.59/100*8</f>
        <v>33101.567200000005</v>
      </c>
      <c r="I40" s="16"/>
      <c r="J40" s="41">
        <f t="shared" si="0"/>
        <v>97.600072548417629</v>
      </c>
      <c r="K40" s="62">
        <f t="shared" si="1"/>
        <v>80.024664881377419</v>
      </c>
      <c r="L40" s="50">
        <f t="shared" si="3"/>
        <v>150718.65599999999</v>
      </c>
    </row>
    <row r="41" spans="1:12">
      <c r="A41" s="47">
        <v>33</v>
      </c>
      <c r="B41" s="48" t="s">
        <v>32</v>
      </c>
      <c r="C41" s="49" t="s">
        <v>33</v>
      </c>
      <c r="D41" s="57">
        <f>33822.3/100*8</f>
        <v>2705.7840000000001</v>
      </c>
      <c r="E41" s="16"/>
      <c r="F41" s="57">
        <f>583143.19/100*8</f>
        <v>46651.455199999997</v>
      </c>
      <c r="G41" s="50">
        <f>570956.05/100*8</f>
        <v>45676.484000000004</v>
      </c>
      <c r="H41" s="69">
        <f>46009.44/100*8</f>
        <v>3680.7552000000001</v>
      </c>
      <c r="I41" s="16"/>
      <c r="J41" s="41">
        <f t="shared" si="0"/>
        <v>97.910094774492705</v>
      </c>
      <c r="K41" s="62">
        <f t="shared" si="1"/>
        <v>90.75000608357945</v>
      </c>
      <c r="L41" s="50">
        <f t="shared" si="3"/>
        <v>46651.455199999997</v>
      </c>
    </row>
    <row r="42" spans="1:12">
      <c r="A42" s="47">
        <v>34</v>
      </c>
      <c r="B42" s="51" t="s">
        <v>32</v>
      </c>
      <c r="C42" s="49" t="s">
        <v>34</v>
      </c>
      <c r="D42" s="57">
        <f>259324.5/100*8</f>
        <v>20745.96</v>
      </c>
      <c r="E42" s="16"/>
      <c r="F42" s="57">
        <f>1898377.83/100*8</f>
        <v>151870.22640000001</v>
      </c>
      <c r="G42" s="50">
        <f>1816663.93/100*8</f>
        <v>145333.11439999999</v>
      </c>
      <c r="H42" s="69">
        <f>341038.4/100*8</f>
        <v>27283.072</v>
      </c>
      <c r="I42" s="16"/>
      <c r="J42" s="41">
        <f t="shared" si="0"/>
        <v>95.695593431998716</v>
      </c>
      <c r="K42" s="62">
        <f t="shared" si="1"/>
        <v>81.122209693014497</v>
      </c>
      <c r="L42" s="50">
        <f t="shared" si="3"/>
        <v>151870.22640000001</v>
      </c>
    </row>
    <row r="43" spans="1:12">
      <c r="A43" s="47">
        <v>35</v>
      </c>
      <c r="B43" s="51" t="s">
        <v>35</v>
      </c>
      <c r="C43" s="49">
        <v>29</v>
      </c>
      <c r="D43" s="57">
        <f>287589.98/100*8</f>
        <v>23007.198399999997</v>
      </c>
      <c r="E43" s="16"/>
      <c r="F43" s="57">
        <f>672371.4/100*8</f>
        <v>53789.712</v>
      </c>
      <c r="G43" s="50">
        <f>632744.69/100*8</f>
        <v>50619.575199999992</v>
      </c>
      <c r="H43" s="69">
        <f>327216.69/100*8</f>
        <v>26177.335200000001</v>
      </c>
      <c r="I43" s="16"/>
      <c r="J43" s="41">
        <f t="shared" si="0"/>
        <v>94.106425407148478</v>
      </c>
      <c r="K43" s="62">
        <f t="shared" si="1"/>
        <v>63.300543126719312</v>
      </c>
      <c r="L43" s="50">
        <f t="shared" si="3"/>
        <v>53789.712</v>
      </c>
    </row>
    <row r="44" spans="1:12">
      <c r="A44" s="47">
        <v>36</v>
      </c>
      <c r="B44" s="51" t="s">
        <v>35</v>
      </c>
      <c r="C44" s="49">
        <v>31</v>
      </c>
      <c r="D44" s="57">
        <f>261791.34/100*8</f>
        <v>20943.307199999999</v>
      </c>
      <c r="E44" s="59"/>
      <c r="F44" s="57">
        <f>686379.1/100*8</f>
        <v>54910.328000000001</v>
      </c>
      <c r="G44" s="50">
        <f>663667.63/100*8</f>
        <v>53093.410400000001</v>
      </c>
      <c r="H44" s="69">
        <f>284502.81/100*8</f>
        <v>22760.2248</v>
      </c>
      <c r="I44" s="59"/>
      <c r="J44" s="41">
        <f t="shared" si="0"/>
        <v>96.691118654399588</v>
      </c>
      <c r="K44" s="62">
        <f t="shared" si="1"/>
        <v>68.357193924851273</v>
      </c>
      <c r="L44" s="50">
        <f t="shared" si="3"/>
        <v>54910.328000000001</v>
      </c>
    </row>
    <row r="45" spans="1:12">
      <c r="A45" s="47">
        <v>37</v>
      </c>
      <c r="B45" s="51" t="s">
        <v>36</v>
      </c>
      <c r="C45" s="49" t="s">
        <v>37</v>
      </c>
      <c r="D45" s="57">
        <f>76360.63/100*8</f>
        <v>6108.8504000000003</v>
      </c>
      <c r="E45" s="3"/>
      <c r="F45" s="57">
        <f>650604.85/100*8</f>
        <v>52048.387999999999</v>
      </c>
      <c r="G45" s="50">
        <f>665715.79/100*8</f>
        <v>53257.263200000001</v>
      </c>
      <c r="H45" s="70">
        <f>76360.63/100*8</f>
        <v>6108.8504000000003</v>
      </c>
      <c r="I45" s="3"/>
      <c r="J45" s="41">
        <f t="shared" si="0"/>
        <v>102.32259873254866</v>
      </c>
      <c r="K45" s="62">
        <f t="shared" si="1"/>
        <v>91.574608191849777</v>
      </c>
      <c r="L45" s="50">
        <f t="shared" si="3"/>
        <v>52048.387999999999</v>
      </c>
    </row>
    <row r="46" spans="1:12">
      <c r="A46" s="47">
        <v>38</v>
      </c>
      <c r="B46" s="51" t="s">
        <v>38</v>
      </c>
      <c r="C46" s="49">
        <v>39</v>
      </c>
      <c r="D46" s="57">
        <f>413341.93/100*8</f>
        <v>33067.354399999997</v>
      </c>
      <c r="E46" s="3"/>
      <c r="F46" s="57">
        <f>1778839.31/100*8</f>
        <v>142307.14480000001</v>
      </c>
      <c r="G46" s="50">
        <f>1694325.24/100*8</f>
        <v>135546.01920000001</v>
      </c>
      <c r="H46" s="70">
        <f>497856/100*8</f>
        <v>39828.480000000003</v>
      </c>
      <c r="I46" s="3"/>
      <c r="J46" s="41">
        <f t="shared" si="0"/>
        <v>95.248920488495386</v>
      </c>
      <c r="K46" s="62">
        <f t="shared" si="1"/>
        <v>74.420377314345146</v>
      </c>
      <c r="L46" s="50">
        <f t="shared" si="3"/>
        <v>142307.14480000001</v>
      </c>
    </row>
    <row r="47" spans="1:12">
      <c r="A47" s="47">
        <v>39</v>
      </c>
      <c r="B47" s="51" t="s">
        <v>38</v>
      </c>
      <c r="C47" s="49" t="s">
        <v>39</v>
      </c>
      <c r="D47" s="57">
        <f>30498/100*8</f>
        <v>2439.84</v>
      </c>
      <c r="E47" s="60"/>
      <c r="F47" s="57">
        <f>607069.13/100*8</f>
        <v>48565.530400000003</v>
      </c>
      <c r="G47" s="50">
        <f>587778.25/100*8</f>
        <v>47022.26</v>
      </c>
      <c r="H47" s="70">
        <f>49788.88/100*8</f>
        <v>3983.1103999999996</v>
      </c>
      <c r="I47" s="3"/>
      <c r="J47" s="41">
        <f t="shared" si="0"/>
        <v>96.822292709892849</v>
      </c>
      <c r="K47" s="62">
        <f t="shared" si="1"/>
        <v>89.483304009644343</v>
      </c>
      <c r="L47" s="50">
        <f t="shared" si="3"/>
        <v>48565.530400000003</v>
      </c>
    </row>
    <row r="48" spans="1:12">
      <c r="A48" s="47">
        <v>40</v>
      </c>
      <c r="B48" s="51" t="s">
        <v>40</v>
      </c>
      <c r="C48" s="49">
        <v>35</v>
      </c>
      <c r="D48" s="57">
        <f>317554.3/100*8</f>
        <v>25404.343999999997</v>
      </c>
      <c r="E48" s="60"/>
      <c r="F48" s="57">
        <f>1718992.07/100*8</f>
        <v>137519.36560000002</v>
      </c>
      <c r="G48" s="50">
        <f>1654219.19/100*8</f>
        <v>132337.53519999998</v>
      </c>
      <c r="H48" s="70">
        <f>382327.18/100*8</f>
        <v>30586.1744</v>
      </c>
      <c r="I48" s="3"/>
      <c r="J48" s="41">
        <f t="shared" si="0"/>
        <v>96.231926770901254</v>
      </c>
      <c r="K48" s="62">
        <f t="shared" si="1"/>
        <v>78.722887538388079</v>
      </c>
      <c r="L48" s="50">
        <f t="shared" si="3"/>
        <v>137519.36560000002</v>
      </c>
    </row>
    <row r="49" spans="1:12">
      <c r="A49" s="47">
        <v>41</v>
      </c>
      <c r="B49" s="51" t="s">
        <v>41</v>
      </c>
      <c r="C49" s="49">
        <v>1</v>
      </c>
      <c r="D49" s="57">
        <f>600768.72/100*8</f>
        <v>48061.497599999995</v>
      </c>
      <c r="E49" s="3"/>
      <c r="F49" s="57">
        <f>2954545.52/100*8</f>
        <v>236363.6416</v>
      </c>
      <c r="G49" s="50">
        <f>2851824.43/100*8</f>
        <v>228145.95440000002</v>
      </c>
      <c r="H49" s="69">
        <f>703489.81/100*8</f>
        <v>56279.184800000003</v>
      </c>
      <c r="I49" s="3"/>
      <c r="J49" s="41">
        <f t="shared" si="0"/>
        <v>96.523286261637978</v>
      </c>
      <c r="K49" s="62">
        <f t="shared" si="1"/>
        <v>77.960549112575137</v>
      </c>
      <c r="L49" s="50">
        <f t="shared" si="3"/>
        <v>236363.6416</v>
      </c>
    </row>
    <row r="50" spans="1:12">
      <c r="A50" s="47">
        <v>42</v>
      </c>
      <c r="B50" s="51" t="s">
        <v>42</v>
      </c>
      <c r="C50" s="49">
        <v>35</v>
      </c>
      <c r="D50" s="57">
        <f>301735.61/100*8</f>
        <v>24138.8488</v>
      </c>
      <c r="E50" s="3"/>
      <c r="F50" s="57">
        <f>2796802.3/100*8</f>
        <v>223744.18399999998</v>
      </c>
      <c r="G50" s="50">
        <f>2691704.84/100*8</f>
        <v>215336.3872</v>
      </c>
      <c r="H50" s="70">
        <f>406833.07/100*8</f>
        <v>32546.6456</v>
      </c>
      <c r="I50" s="3"/>
      <c r="J50" s="41">
        <f t="shared" si="0"/>
        <v>96.24222777562791</v>
      </c>
      <c r="K50" s="62">
        <f t="shared" si="1"/>
        <v>84.020324697563836</v>
      </c>
      <c r="L50" s="50">
        <f t="shared" si="3"/>
        <v>223744.18399999998</v>
      </c>
    </row>
    <row r="51" spans="1:12">
      <c r="A51" s="47">
        <v>43</v>
      </c>
      <c r="B51" s="52" t="s">
        <v>43</v>
      </c>
      <c r="C51" s="53">
        <v>29</v>
      </c>
      <c r="D51" s="58">
        <f>169139.01/100*8</f>
        <v>13531.120800000001</v>
      </c>
      <c r="E51" s="16"/>
      <c r="F51" s="58">
        <f>1016795.68/100*8</f>
        <v>81343.654399999999</v>
      </c>
      <c r="G51" s="54">
        <f>979587.48/100*8</f>
        <v>78366.998399999997</v>
      </c>
      <c r="H51" s="69">
        <f>206347.21/100*8</f>
        <v>16507.7768</v>
      </c>
      <c r="I51" s="16"/>
      <c r="J51" s="41">
        <f t="shared" si="0"/>
        <v>96.340641415785711</v>
      </c>
      <c r="K51" s="62">
        <f t="shared" si="1"/>
        <v>80.087738563398759</v>
      </c>
      <c r="L51" s="54">
        <f t="shared" si="3"/>
        <v>81343.654399999999</v>
      </c>
    </row>
    <row r="52" spans="1:12">
      <c r="A52" s="47">
        <v>44</v>
      </c>
      <c r="B52" s="52" t="s">
        <v>43</v>
      </c>
      <c r="C52" s="53">
        <v>27</v>
      </c>
      <c r="D52" s="58">
        <f>43278.04/100*8</f>
        <v>3462.2431999999999</v>
      </c>
      <c r="E52" s="16"/>
      <c r="F52" s="58">
        <f>557295.31/100*8</f>
        <v>44583.624800000005</v>
      </c>
      <c r="G52" s="54">
        <f>531140.94/100*8</f>
        <v>42491.275199999996</v>
      </c>
      <c r="H52" s="69">
        <f>69432.41/100*8</f>
        <v>5554.5928000000004</v>
      </c>
      <c r="I52" s="16"/>
      <c r="J52" s="41">
        <f t="shared" si="0"/>
        <v>95.306910083273422</v>
      </c>
      <c r="K52" s="62">
        <f t="shared" si="1"/>
        <v>84.748276332822797</v>
      </c>
      <c r="L52" s="54">
        <f t="shared" si="3"/>
        <v>44583.624800000005</v>
      </c>
    </row>
    <row r="53" spans="1:12">
      <c r="A53" s="47">
        <v>45</v>
      </c>
      <c r="B53" s="51" t="s">
        <v>43</v>
      </c>
      <c r="C53" s="49">
        <v>25</v>
      </c>
      <c r="D53" s="57">
        <f>114182.47/100*8</f>
        <v>9134.597600000001</v>
      </c>
      <c r="E53" s="61"/>
      <c r="F53" s="57">
        <f>950553.81/100*8</f>
        <v>76044.304799999998</v>
      </c>
      <c r="G53" s="50">
        <f>905055.48/100*8</f>
        <v>72404.438399999999</v>
      </c>
      <c r="H53" s="71">
        <f>159680.8/100*8</f>
        <v>12774.464</v>
      </c>
      <c r="I53" s="61"/>
      <c r="J53" s="41">
        <f t="shared" si="0"/>
        <v>95.213492437634855</v>
      </c>
      <c r="K53" s="62">
        <f t="shared" si="1"/>
        <v>81.519299781151659</v>
      </c>
      <c r="L53" s="50">
        <f t="shared" si="3"/>
        <v>76044.304799999998</v>
      </c>
    </row>
    <row r="54" spans="1:12">
      <c r="A54" s="47">
        <v>46</v>
      </c>
      <c r="B54" s="51" t="s">
        <v>43</v>
      </c>
      <c r="C54" s="53">
        <v>21</v>
      </c>
      <c r="D54" s="58">
        <f>205485.56/100*8</f>
        <v>16438.844799999999</v>
      </c>
      <c r="E54" s="3"/>
      <c r="F54" s="58">
        <f>975614.6/100*8</f>
        <v>78049.168000000005</v>
      </c>
      <c r="G54" s="54">
        <f>969389.55/100*8</f>
        <v>77551.164000000004</v>
      </c>
      <c r="H54" s="70">
        <f>211710.61/100*8</f>
        <v>16936.8488</v>
      </c>
      <c r="I54" s="3"/>
      <c r="J54" s="41">
        <f t="shared" si="0"/>
        <v>99.361935542990025</v>
      </c>
      <c r="K54" s="62">
        <f t="shared" si="1"/>
        <v>81.644821640736481</v>
      </c>
      <c r="L54" s="54">
        <f t="shared" si="3"/>
        <v>78049.168000000005</v>
      </c>
    </row>
    <row r="55" spans="1:12">
      <c r="A55" s="47">
        <v>47</v>
      </c>
      <c r="B55" s="51" t="s">
        <v>42</v>
      </c>
      <c r="C55" s="53">
        <v>19</v>
      </c>
      <c r="D55" s="58">
        <f>38709.37/100*8</f>
        <v>3096.7496000000001</v>
      </c>
      <c r="E55" s="3"/>
      <c r="F55" s="58">
        <f>558428.78/100*8</f>
        <v>44674.3024</v>
      </c>
      <c r="G55" s="54">
        <f>549935.62/100*8</f>
        <v>43994.849600000001</v>
      </c>
      <c r="H55" s="70">
        <f>47202.53/100*8</f>
        <v>3776.2024000000001</v>
      </c>
      <c r="I55" s="3"/>
      <c r="J55" s="41">
        <f t="shared" si="0"/>
        <v>98.479097012156146</v>
      </c>
      <c r="K55" s="62">
        <f t="shared" si="1"/>
        <v>90.803697054566072</v>
      </c>
      <c r="L55" s="54">
        <f t="shared" si="3"/>
        <v>44674.3024</v>
      </c>
    </row>
    <row r="56" spans="1:12">
      <c r="A56" s="47">
        <v>48</v>
      </c>
      <c r="B56" s="51" t="s">
        <v>42</v>
      </c>
      <c r="C56" s="53">
        <v>17</v>
      </c>
      <c r="D56" s="58">
        <f>152311.32/100*8</f>
        <v>12184.9056</v>
      </c>
      <c r="E56" s="3"/>
      <c r="F56" s="58">
        <f>891176.24/100*8</f>
        <v>71294.099199999997</v>
      </c>
      <c r="G56" s="54">
        <f>915786.03/100*8</f>
        <v>73262.882400000002</v>
      </c>
      <c r="H56" s="70">
        <f>127701.53/100*8</f>
        <v>10216.1224</v>
      </c>
      <c r="I56" s="3"/>
      <c r="J56" s="41">
        <f t="shared" si="0"/>
        <v>102.76149530198427</v>
      </c>
      <c r="K56" s="62">
        <f t="shared" si="1"/>
        <v>89.881834402962795</v>
      </c>
      <c r="L56" s="54">
        <f t="shared" si="3"/>
        <v>71294.099199999997</v>
      </c>
    </row>
    <row r="57" spans="1:12">
      <c r="A57" s="47">
        <v>49</v>
      </c>
      <c r="B57" s="51" t="s">
        <v>42</v>
      </c>
      <c r="C57" s="53">
        <v>13</v>
      </c>
      <c r="D57" s="58">
        <f>167978.78/100*8</f>
        <v>13438.3024</v>
      </c>
      <c r="E57" s="3"/>
      <c r="F57" s="58">
        <f>1021995.57/100*8</f>
        <v>81759.645599999989</v>
      </c>
      <c r="G57" s="54">
        <f>960794.9/100*8</f>
        <v>76863.592000000004</v>
      </c>
      <c r="H57" s="70">
        <f>229179.45/100*8</f>
        <v>18334.356</v>
      </c>
      <c r="I57" s="3"/>
      <c r="J57" s="41">
        <f t="shared" si="0"/>
        <v>94.011650167916102</v>
      </c>
      <c r="K57" s="62">
        <f t="shared" si="1"/>
        <v>76.791406848899541</v>
      </c>
      <c r="L57" s="54">
        <f t="shared" si="3"/>
        <v>81759.645599999989</v>
      </c>
    </row>
    <row r="58" spans="1:12">
      <c r="A58" s="47">
        <v>50</v>
      </c>
      <c r="B58" s="51" t="s">
        <v>42</v>
      </c>
      <c r="C58" s="53">
        <v>11</v>
      </c>
      <c r="D58" s="58">
        <f>123484.02/100*8</f>
        <v>9878.7216000000008</v>
      </c>
      <c r="E58" s="3"/>
      <c r="F58" s="58">
        <f>539105.07/100*8</f>
        <v>43128.405599999998</v>
      </c>
      <c r="G58" s="54">
        <f>503679.17/100*8</f>
        <v>40294.333599999998</v>
      </c>
      <c r="H58" s="70">
        <f>158909.92/100*8</f>
        <v>12712.793600000001</v>
      </c>
      <c r="I58" s="3"/>
      <c r="J58" s="41">
        <f t="shared" si="0"/>
        <v>93.428757774435326</v>
      </c>
      <c r="K58" s="62">
        <f t="shared" si="1"/>
        <v>72.158789885013789</v>
      </c>
      <c r="L58" s="54">
        <f t="shared" si="3"/>
        <v>43128.405599999998</v>
      </c>
    </row>
    <row r="59" spans="1:12">
      <c r="A59" s="47">
        <v>51</v>
      </c>
      <c r="B59" s="51" t="s">
        <v>42</v>
      </c>
      <c r="C59" s="53">
        <v>9</v>
      </c>
      <c r="D59" s="58">
        <f>140317.74/100*8</f>
        <v>11225.419199999998</v>
      </c>
      <c r="E59" s="3"/>
      <c r="F59" s="58">
        <f>909763.23/100*8</f>
        <v>72781.058399999994</v>
      </c>
      <c r="G59" s="54">
        <f>914935.51/100*8</f>
        <v>73194.840800000005</v>
      </c>
      <c r="H59" s="70">
        <f>135145.46/100*8</f>
        <v>10811.6368</v>
      </c>
      <c r="I59" s="3"/>
      <c r="J59" s="41">
        <f t="shared" si="0"/>
        <v>100.56853034168023</v>
      </c>
      <c r="K59" s="62">
        <f t="shared" si="1"/>
        <v>87.56128824998099</v>
      </c>
      <c r="L59" s="54">
        <f t="shared" si="3"/>
        <v>72781.058399999994</v>
      </c>
    </row>
    <row r="60" spans="1:12">
      <c r="A60" s="47">
        <v>52</v>
      </c>
      <c r="B60" s="51" t="s">
        <v>44</v>
      </c>
      <c r="C60" s="53">
        <v>42</v>
      </c>
      <c r="D60" s="58">
        <f>125049.86/100*8</f>
        <v>10003.988799999999</v>
      </c>
      <c r="E60" s="3"/>
      <c r="F60" s="58">
        <f>940898.57/100*8</f>
        <v>75271.885599999994</v>
      </c>
      <c r="G60" s="54">
        <f>906996.84/100*8</f>
        <v>72559.747199999998</v>
      </c>
      <c r="H60" s="70">
        <f>158951.59/100*8</f>
        <v>12716.127199999999</v>
      </c>
      <c r="I60" s="3"/>
      <c r="J60" s="41">
        <f t="shared" si="0"/>
        <v>96.396877295711064</v>
      </c>
      <c r="K60" s="62">
        <f t="shared" si="1"/>
        <v>82.465491481130485</v>
      </c>
      <c r="L60" s="54">
        <f t="shared" si="3"/>
        <v>75271.885599999994</v>
      </c>
    </row>
    <row r="61" spans="1:12">
      <c r="A61" s="47">
        <v>53</v>
      </c>
      <c r="B61" s="51" t="s">
        <v>44</v>
      </c>
      <c r="C61" s="53">
        <v>36</v>
      </c>
      <c r="D61" s="58">
        <f>135420.6/100*8</f>
        <v>10833.648000000001</v>
      </c>
      <c r="E61" s="3"/>
      <c r="F61" s="58">
        <f>1591507.57/100*8</f>
        <v>127320.60560000001</v>
      </c>
      <c r="G61" s="54">
        <f>1526853.51/100*8</f>
        <v>122148.28080000001</v>
      </c>
      <c r="H61" s="70">
        <f>200074.66/100*8</f>
        <v>16005.9728</v>
      </c>
      <c r="I61" s="3"/>
      <c r="J61" s="41">
        <f t="shared" si="0"/>
        <v>95.937558751291391</v>
      </c>
      <c r="K61" s="62">
        <f t="shared" si="1"/>
        <v>85.223747167887467</v>
      </c>
      <c r="L61" s="54">
        <f t="shared" si="3"/>
        <v>127320.60560000001</v>
      </c>
    </row>
    <row r="62" spans="1:12">
      <c r="A62" s="47">
        <v>54</v>
      </c>
      <c r="B62" s="51" t="s">
        <v>44</v>
      </c>
      <c r="C62" s="53">
        <v>47</v>
      </c>
      <c r="D62" s="58">
        <f>52030.53/100*8</f>
        <v>4162.4423999999999</v>
      </c>
      <c r="E62" s="3"/>
      <c r="F62" s="58">
        <f>572279/100*8</f>
        <v>45782.32</v>
      </c>
      <c r="G62" s="54">
        <f>544556.66/100*8</f>
        <v>43564.532800000001</v>
      </c>
      <c r="H62" s="70">
        <f>79752.87/100*8</f>
        <v>6380.2295999999997</v>
      </c>
      <c r="I62" s="3"/>
      <c r="J62" s="41">
        <f t="shared" si="0"/>
        <v>95.15579988082736</v>
      </c>
      <c r="K62" s="62">
        <f t="shared" si="1"/>
        <v>83.516877786970753</v>
      </c>
      <c r="L62" s="54">
        <f t="shared" si="3"/>
        <v>45782.32</v>
      </c>
    </row>
    <row r="63" spans="1:12">
      <c r="A63" s="47">
        <v>55</v>
      </c>
      <c r="B63" s="51" t="s">
        <v>44</v>
      </c>
      <c r="C63" s="53">
        <v>49</v>
      </c>
      <c r="D63" s="58">
        <f>83238.26/100*8</f>
        <v>6659.0607999999993</v>
      </c>
      <c r="E63" s="3"/>
      <c r="F63" s="58">
        <f>638862.5/100*8</f>
        <v>51109</v>
      </c>
      <c r="G63" s="54">
        <f>587718.18/100*8</f>
        <v>47017.454400000002</v>
      </c>
      <c r="H63" s="70">
        <f>134382.58/100*8</f>
        <v>10750.606399999999</v>
      </c>
      <c r="I63" s="3"/>
      <c r="J63" s="41">
        <f t="shared" si="0"/>
        <v>91.994471423819675</v>
      </c>
      <c r="K63" s="62">
        <f t="shared" si="1"/>
        <v>76.00671445591351</v>
      </c>
      <c r="L63" s="54">
        <f t="shared" si="3"/>
        <v>51109</v>
      </c>
    </row>
    <row r="64" spans="1:12">
      <c r="A64" s="47">
        <v>56</v>
      </c>
      <c r="B64" s="51" t="s">
        <v>44</v>
      </c>
      <c r="C64" s="53">
        <v>51</v>
      </c>
      <c r="D64" s="58">
        <f>107134.4/100*8</f>
        <v>8570.7520000000004</v>
      </c>
      <c r="E64" s="3"/>
      <c r="F64" s="58">
        <f>949604.44/100*8</f>
        <v>75968.355199999991</v>
      </c>
      <c r="G64" s="54">
        <f>900483.27/100*8</f>
        <v>72038.661600000007</v>
      </c>
      <c r="H64" s="70">
        <f>156255.57/100*8</f>
        <v>12500.445600000001</v>
      </c>
      <c r="I64" s="3"/>
      <c r="J64" s="41">
        <f t="shared" si="0"/>
        <v>94.827196679914451</v>
      </c>
      <c r="K64" s="62">
        <f t="shared" si="1"/>
        <v>81.428323825544624</v>
      </c>
      <c r="L64" s="54">
        <f t="shared" si="3"/>
        <v>75968.355199999991</v>
      </c>
    </row>
    <row r="65" spans="1:12">
      <c r="A65" s="47">
        <v>57</v>
      </c>
      <c r="B65" s="51" t="s">
        <v>44</v>
      </c>
      <c r="C65" s="53">
        <v>53</v>
      </c>
      <c r="D65" s="58">
        <f>163029.03/100*8</f>
        <v>13042.322399999999</v>
      </c>
      <c r="E65" s="3"/>
      <c r="F65" s="58">
        <f>963920.77/100*8</f>
        <v>77113.661600000007</v>
      </c>
      <c r="G65" s="54">
        <f>944880.7/100*8</f>
        <v>75590.455999999991</v>
      </c>
      <c r="H65" s="70">
        <f>182069.1/100*8</f>
        <v>14565.528</v>
      </c>
      <c r="I65" s="3"/>
      <c r="J65" s="41">
        <f t="shared" si="0"/>
        <v>98.024726658810337</v>
      </c>
      <c r="K65" s="62">
        <f t="shared" si="1"/>
        <v>82.451051683380044</v>
      </c>
      <c r="L65" s="54">
        <f t="shared" si="3"/>
        <v>77113.661600000007</v>
      </c>
    </row>
    <row r="66" spans="1:12">
      <c r="A66" s="47">
        <v>58</v>
      </c>
      <c r="B66" s="51" t="s">
        <v>45</v>
      </c>
      <c r="C66" s="53">
        <v>20</v>
      </c>
      <c r="D66" s="58">
        <f>60811.61/100*8</f>
        <v>4864.9287999999997</v>
      </c>
      <c r="E66" s="3"/>
      <c r="F66" s="58">
        <f>866090.58/100*8</f>
        <v>69287.246400000004</v>
      </c>
      <c r="G66" s="54">
        <f>813422.54/100*8</f>
        <v>65073.803200000002</v>
      </c>
      <c r="H66" s="69">
        <f>113479.65/100*8</f>
        <v>9078.3719999999994</v>
      </c>
      <c r="I66" s="59"/>
      <c r="J66" s="41">
        <f t="shared" si="0"/>
        <v>93.918876245022773</v>
      </c>
      <c r="K66" s="62">
        <f t="shared" si="1"/>
        <v>83.038715866242683</v>
      </c>
      <c r="L66" s="54">
        <f t="shared" si="3"/>
        <v>69287.246400000004</v>
      </c>
    </row>
    <row r="67" spans="1:12">
      <c r="A67" s="47">
        <v>59</v>
      </c>
      <c r="B67" s="51" t="s">
        <v>45</v>
      </c>
      <c r="C67" s="53">
        <v>26</v>
      </c>
      <c r="D67" s="58">
        <f>36240.27/100*8</f>
        <v>2899.2215999999999</v>
      </c>
      <c r="E67" s="3"/>
      <c r="F67" s="58">
        <f>601425.05/100*8</f>
        <v>48114.004000000001</v>
      </c>
      <c r="G67" s="54">
        <f>538337.6/100*8</f>
        <v>43067.008000000002</v>
      </c>
      <c r="H67" s="69">
        <f>99327.72/100*8</f>
        <v>7946.2175999999999</v>
      </c>
      <c r="I67" s="3"/>
      <c r="J67" s="41">
        <f t="shared" si="0"/>
        <v>89.510338819442254</v>
      </c>
      <c r="K67" s="62">
        <f t="shared" si="1"/>
        <v>76.82275733280369</v>
      </c>
      <c r="L67" s="54">
        <f t="shared" si="3"/>
        <v>48114.004000000001</v>
      </c>
    </row>
    <row r="68" spans="1:12">
      <c r="A68" s="47">
        <v>60</v>
      </c>
      <c r="B68" s="51" t="s">
        <v>45</v>
      </c>
      <c r="C68" s="53" t="s">
        <v>46</v>
      </c>
      <c r="D68" s="58">
        <f>93112.81/100*8</f>
        <v>7449.0248000000001</v>
      </c>
      <c r="E68" s="3"/>
      <c r="F68" s="58">
        <f>940507.88/100*8</f>
        <v>75240.630399999995</v>
      </c>
      <c r="G68" s="54">
        <f>900332.72/100*8</f>
        <v>72026.617599999998</v>
      </c>
      <c r="H68" s="70">
        <f>133287.97/100*8</f>
        <v>10663.0376</v>
      </c>
      <c r="I68" s="3"/>
      <c r="J68" s="41">
        <f t="shared" si="0"/>
        <v>95.728354769340157</v>
      </c>
      <c r="K68" s="62">
        <f t="shared" si="1"/>
        <v>83.845799925563142</v>
      </c>
      <c r="L68" s="54">
        <f t="shared" si="3"/>
        <v>75240.630399999995</v>
      </c>
    </row>
    <row r="69" spans="1:12">
      <c r="A69" s="47">
        <v>61</v>
      </c>
      <c r="B69" s="51" t="s">
        <v>45</v>
      </c>
      <c r="C69" s="53">
        <v>28</v>
      </c>
      <c r="D69" s="58">
        <v>0</v>
      </c>
      <c r="E69" s="3"/>
      <c r="F69" s="58">
        <f>720682.41/100*8</f>
        <v>57654.592800000006</v>
      </c>
      <c r="G69" s="54">
        <f>601384.14/100*8</f>
        <v>48110.731200000002</v>
      </c>
      <c r="H69" s="70">
        <f>119298.27/100*8</f>
        <v>9543.8616000000002</v>
      </c>
      <c r="I69" s="3"/>
      <c r="J69" s="41">
        <f t="shared" si="0"/>
        <v>83.446485116793681</v>
      </c>
      <c r="K69" s="62">
        <f t="shared" si="1"/>
        <v>71.594996684923757</v>
      </c>
      <c r="L69" s="54">
        <f t="shared" si="3"/>
        <v>57654.592800000006</v>
      </c>
    </row>
    <row r="70" spans="1:12">
      <c r="A70" s="47">
        <v>62</v>
      </c>
      <c r="B70" s="51" t="s">
        <v>45</v>
      </c>
      <c r="C70" s="53">
        <v>30</v>
      </c>
      <c r="D70" s="58">
        <f>74657.25/100*8</f>
        <v>5972.58</v>
      </c>
      <c r="E70" s="3"/>
      <c r="F70" s="58">
        <f>853584.22/100*8</f>
        <v>68286.737599999993</v>
      </c>
      <c r="G70" s="54">
        <f>791237.14/100*8</f>
        <v>63298.9712</v>
      </c>
      <c r="H70" s="70">
        <f>137004.33/100*8</f>
        <v>10960.346399999999</v>
      </c>
      <c r="I70" s="3"/>
      <c r="J70" s="41">
        <f t="shared" si="0"/>
        <v>92.695849039945941</v>
      </c>
      <c r="K70" s="62">
        <f t="shared" si="1"/>
        <v>79.875457878046348</v>
      </c>
      <c r="L70" s="54">
        <f t="shared" si="3"/>
        <v>68286.737599999993</v>
      </c>
    </row>
    <row r="71" spans="1:12">
      <c r="A71" s="47">
        <v>63</v>
      </c>
      <c r="B71" s="51" t="s">
        <v>47</v>
      </c>
      <c r="C71" s="53">
        <v>46</v>
      </c>
      <c r="D71" s="58">
        <f>144598.14/100*8</f>
        <v>11567.851200000001</v>
      </c>
      <c r="E71" s="3"/>
      <c r="F71" s="58">
        <f>1767382.99/100*8</f>
        <v>141390.63920000001</v>
      </c>
      <c r="G71" s="54">
        <f>1608348.04/100*8</f>
        <v>128667.8432</v>
      </c>
      <c r="H71" s="70">
        <f>303633.09/100*8</f>
        <v>24290.647200000003</v>
      </c>
      <c r="I71" s="3"/>
      <c r="J71" s="41">
        <f t="shared" si="0"/>
        <v>91.001670215237269</v>
      </c>
      <c r="K71" s="62">
        <f t="shared" si="1"/>
        <v>77.659852838998717</v>
      </c>
      <c r="L71" s="54">
        <f t="shared" si="3"/>
        <v>141390.63920000001</v>
      </c>
    </row>
    <row r="72" spans="1:12">
      <c r="A72" s="47">
        <v>64</v>
      </c>
      <c r="B72" s="51" t="s">
        <v>47</v>
      </c>
      <c r="C72" s="53">
        <v>48</v>
      </c>
      <c r="D72" s="58">
        <f>414418.65/100*8</f>
        <v>33153.491999999998</v>
      </c>
      <c r="E72" s="3"/>
      <c r="F72" s="58">
        <f>2491122.69/100*8</f>
        <v>199289.81519999998</v>
      </c>
      <c r="G72" s="54">
        <f>2317957.68/100*8</f>
        <v>185436.61440000002</v>
      </c>
      <c r="H72" s="70">
        <f>587583.66/100*8</f>
        <v>47006.692800000004</v>
      </c>
      <c r="I72" s="3"/>
      <c r="J72" s="41">
        <f t="shared" si="0"/>
        <v>93.048716119237014</v>
      </c>
      <c r="K72" s="62">
        <f t="shared" si="1"/>
        <v>75.28998925149196</v>
      </c>
      <c r="L72" s="54">
        <f t="shared" si="3"/>
        <v>199289.81519999998</v>
      </c>
    </row>
    <row r="73" spans="1:12">
      <c r="A73" s="47">
        <v>65</v>
      </c>
      <c r="B73" s="51" t="s">
        <v>48</v>
      </c>
      <c r="C73" s="53">
        <v>71</v>
      </c>
      <c r="D73" s="58">
        <f>39146.37/100*8</f>
        <v>3131.7096000000001</v>
      </c>
      <c r="E73" s="3"/>
      <c r="F73" s="58">
        <f>32906.67/100*8</f>
        <v>2632.5335999999998</v>
      </c>
      <c r="G73" s="54">
        <f>6789.3/100*8</f>
        <v>543.14400000000001</v>
      </c>
      <c r="H73" s="70">
        <f>549.6/100*8</f>
        <v>43.968000000000004</v>
      </c>
      <c r="I73" s="3"/>
      <c r="J73" s="41">
        <f t="shared" si="0"/>
        <v>20.631987375203874</v>
      </c>
      <c r="K73" s="62">
        <f t="shared" si="1"/>
        <v>20.293057175829826</v>
      </c>
      <c r="L73" s="54">
        <f t="shared" si="3"/>
        <v>2632.5335999999998</v>
      </c>
    </row>
    <row r="74" spans="1:12">
      <c r="A74" s="47">
        <v>66</v>
      </c>
      <c r="B74" s="51" t="s">
        <v>49</v>
      </c>
      <c r="C74" s="53">
        <v>20</v>
      </c>
      <c r="D74" s="58">
        <f>48983.53/100*8</f>
        <v>3918.6823999999997</v>
      </c>
      <c r="E74" s="3"/>
      <c r="F74" s="58">
        <f>21377.47/100*8</f>
        <v>1710.1976000000002</v>
      </c>
      <c r="G74" s="54">
        <f>7412.23/100*8</f>
        <v>592.97839999999997</v>
      </c>
      <c r="H74" s="70">
        <f>62948.77/100*8</f>
        <v>5035.9016000000001</v>
      </c>
      <c r="I74" s="3"/>
      <c r="J74" s="41">
        <f>G74/F74*100</f>
        <v>34.6730927467095</v>
      </c>
      <c r="K74" s="62">
        <f>G74/(F74+H74)*100</f>
        <v>8.7899448617654468</v>
      </c>
      <c r="L74" s="54">
        <f t="shared" si="3"/>
        <v>1710.1976000000002</v>
      </c>
    </row>
    <row r="75" spans="1:12">
      <c r="A75" s="47">
        <v>67</v>
      </c>
      <c r="B75" s="51" t="s">
        <v>53</v>
      </c>
      <c r="C75" s="53" t="s">
        <v>54</v>
      </c>
      <c r="D75" s="58">
        <f>0/100*8</f>
        <v>0</v>
      </c>
      <c r="E75" s="3"/>
      <c r="F75" s="58">
        <f>137054.39/100*8</f>
        <v>10964.351200000001</v>
      </c>
      <c r="G75" s="54">
        <f>99232.85/100*8</f>
        <v>7938.6280000000006</v>
      </c>
      <c r="H75" s="70">
        <f>37821.54/100*8</f>
        <v>3025.7231999999999</v>
      </c>
      <c r="I75" s="3"/>
      <c r="J75" s="41">
        <f>G75/F75*100</f>
        <v>72.403992312832884</v>
      </c>
      <c r="K75" s="62">
        <f>G75/(F75+H75)*100</f>
        <v>56.74471609672068</v>
      </c>
      <c r="L75" s="54">
        <f t="shared" si="3"/>
        <v>10964.351200000001</v>
      </c>
    </row>
    <row r="76" spans="1:12">
      <c r="A76" s="47">
        <v>68</v>
      </c>
      <c r="B76" s="51" t="s">
        <v>55</v>
      </c>
      <c r="C76" s="53">
        <v>21</v>
      </c>
      <c r="D76" s="58">
        <f>0/100*8</f>
        <v>0</v>
      </c>
      <c r="E76" s="3"/>
      <c r="F76" s="58">
        <f>688218.58/100*8</f>
        <v>55057.486399999994</v>
      </c>
      <c r="G76" s="54">
        <f>488047.42/100*8</f>
        <v>39043.793599999997</v>
      </c>
      <c r="H76" s="70">
        <f>200171.16/100*8</f>
        <v>16013.692800000001</v>
      </c>
      <c r="I76" s="3"/>
      <c r="J76" s="41">
        <f>G76/F76*100</f>
        <v>70.914595185732992</v>
      </c>
      <c r="K76" s="62">
        <f>G76/(F76+H76)*100</f>
        <v>54.936183751964542</v>
      </c>
      <c r="L76" s="54">
        <f t="shared" si="3"/>
        <v>55057.486399999994</v>
      </c>
    </row>
    <row r="77" spans="1:12">
      <c r="A77" s="47">
        <v>69</v>
      </c>
      <c r="B77" s="51" t="s">
        <v>50</v>
      </c>
      <c r="C77" s="53">
        <v>12</v>
      </c>
      <c r="D77" s="58">
        <f>20032.4/100*8</f>
        <v>1602.5920000000001</v>
      </c>
      <c r="E77" s="3"/>
      <c r="F77" s="58">
        <f>12929.76/100*8</f>
        <v>1034.3807999999999</v>
      </c>
      <c r="G77" s="54">
        <f>7102.64/100*8</f>
        <v>568.21120000000008</v>
      </c>
      <c r="H77" s="70">
        <f>0/100*8</f>
        <v>0</v>
      </c>
      <c r="I77" s="3"/>
      <c r="J77" s="41">
        <f>G77/F77*100</f>
        <v>54.932496813552625</v>
      </c>
      <c r="K77" s="62">
        <f>G77/(F77+H77)*100</f>
        <v>54.932496813552625</v>
      </c>
      <c r="L77" s="54">
        <f t="shared" si="3"/>
        <v>1034.3807999999999</v>
      </c>
    </row>
    <row r="78" spans="1:12" ht="13.5" thickBot="1">
      <c r="A78" s="63">
        <v>70</v>
      </c>
      <c r="B78" s="55" t="s">
        <v>51</v>
      </c>
      <c r="C78" s="56">
        <v>8</v>
      </c>
      <c r="D78" s="64">
        <f>33108.32/100*8</f>
        <v>2648.6655999999998</v>
      </c>
      <c r="E78" s="4"/>
      <c r="F78" s="64">
        <f>28048.63/100*8</f>
        <v>2243.8904000000002</v>
      </c>
      <c r="G78" s="65">
        <f>4502.07/100*8</f>
        <v>360.16559999999998</v>
      </c>
      <c r="H78" s="72">
        <f>557.62/100*8</f>
        <v>44.6096</v>
      </c>
      <c r="I78" s="4"/>
      <c r="J78" s="43">
        <f>G78/F78*100</f>
        <v>16.050944377675485</v>
      </c>
      <c r="K78" s="66">
        <f>G78/(F78+H78)*100</f>
        <v>15.73806423421455</v>
      </c>
      <c r="L78" s="65">
        <f t="shared" si="3"/>
        <v>2243.8904000000002</v>
      </c>
    </row>
    <row r="79" spans="1:12" ht="13.5" thickBot="1">
      <c r="A79" s="44"/>
      <c r="B79" s="45"/>
      <c r="C79" s="45"/>
      <c r="D79" s="73">
        <f>SUM(D9:D78)</f>
        <v>1022025.8912000002</v>
      </c>
      <c r="E79" s="74"/>
      <c r="F79" s="73">
        <f>SUM(F9:F78)</f>
        <v>6557850.4160000011</v>
      </c>
      <c r="G79" s="73">
        <f>SUM(G9:G78)</f>
        <v>6330702.4392000027</v>
      </c>
      <c r="H79" s="73">
        <f>SUM(H9:H78)</f>
        <v>1397228.5064000001</v>
      </c>
      <c r="I79" s="74"/>
      <c r="J79" s="74"/>
      <c r="K79" s="74"/>
      <c r="L79" s="73">
        <f>SUM(L9:L78)</f>
        <v>6557850.4160000011</v>
      </c>
    </row>
    <row r="80" spans="1:12">
      <c r="E80" s="5"/>
      <c r="F80" s="5"/>
      <c r="G80" s="5"/>
      <c r="H80" s="5"/>
      <c r="I80" s="5"/>
      <c r="J80" s="5"/>
      <c r="K80" s="5"/>
      <c r="L80" s="5"/>
    </row>
    <row r="81" spans="5:12">
      <c r="E81" s="5"/>
      <c r="F81" s="5"/>
      <c r="G81" s="5"/>
      <c r="H81" s="5"/>
      <c r="I81" s="5"/>
      <c r="J81" s="5"/>
      <c r="K81" s="5"/>
      <c r="L81" s="5"/>
    </row>
    <row r="82" spans="5:12">
      <c r="E82" s="5"/>
      <c r="F82" s="5"/>
      <c r="G82" s="5"/>
      <c r="H82" s="5"/>
      <c r="I82" s="5"/>
      <c r="J82" s="5"/>
      <c r="K82" s="5"/>
      <c r="L82" s="5"/>
    </row>
    <row r="83" spans="5:12">
      <c r="E83" s="5"/>
      <c r="F83" s="5"/>
      <c r="G83" s="5"/>
      <c r="H83" s="5"/>
      <c r="I83" s="5"/>
      <c r="J83" s="5"/>
      <c r="K83" s="5"/>
      <c r="L83" s="5"/>
    </row>
    <row r="84" spans="5:12">
      <c r="E84" s="5"/>
      <c r="F84" s="5"/>
      <c r="G84" s="5"/>
      <c r="H84" s="5"/>
      <c r="I84" s="5"/>
      <c r="J84" s="5"/>
      <c r="K84" s="5"/>
      <c r="L84" s="5"/>
    </row>
    <row r="85" spans="5:12">
      <c r="E85" s="5"/>
      <c r="F85" s="5"/>
      <c r="G85" s="5"/>
      <c r="H85" s="5"/>
      <c r="I85" s="5"/>
      <c r="J85" s="5"/>
      <c r="K85" s="5"/>
      <c r="L85" s="5"/>
    </row>
    <row r="86" spans="5:12">
      <c r="E86" s="5"/>
      <c r="F86" s="5"/>
      <c r="G86" s="5"/>
      <c r="H86" s="5"/>
      <c r="I86" s="5"/>
      <c r="J86" s="5"/>
      <c r="K86" s="5"/>
      <c r="L86" s="5"/>
    </row>
    <row r="87" spans="5:12">
      <c r="E87" s="5"/>
      <c r="F87" s="5"/>
      <c r="G87" s="5"/>
      <c r="H87" s="5"/>
      <c r="I87" s="5"/>
      <c r="J87" s="5"/>
      <c r="K87" s="5"/>
      <c r="L87" s="5"/>
    </row>
    <row r="88" spans="5:12">
      <c r="E88" s="5"/>
      <c r="F88" s="5"/>
      <c r="G88" s="5"/>
      <c r="H88" s="5"/>
      <c r="I88" s="5"/>
      <c r="J88" s="5"/>
      <c r="K88" s="5"/>
      <c r="L88" s="5"/>
    </row>
    <row r="89" spans="5:12">
      <c r="E89" s="5"/>
      <c r="F89" s="5"/>
      <c r="G89" s="5"/>
      <c r="H89" s="5"/>
      <c r="I89" s="5"/>
      <c r="J89" s="5"/>
      <c r="K89" s="5"/>
      <c r="L89" s="5"/>
    </row>
    <row r="90" spans="5:12">
      <c r="E90" s="5"/>
      <c r="F90" s="5"/>
      <c r="G90" s="5"/>
      <c r="H90" s="5"/>
      <c r="I90" s="5"/>
      <c r="J90" s="5"/>
      <c r="K90" s="5"/>
      <c r="L90" s="5"/>
    </row>
    <row r="91" spans="5:12">
      <c r="E91" s="5"/>
      <c r="F91" s="5"/>
      <c r="G91" s="5"/>
      <c r="H91" s="5"/>
      <c r="I91" s="5"/>
      <c r="J91" s="5"/>
      <c r="K91" s="5"/>
      <c r="L91" s="5"/>
    </row>
    <row r="92" spans="5:12">
      <c r="E92" s="5"/>
      <c r="F92" s="5"/>
      <c r="G92" s="5"/>
      <c r="H92" s="5"/>
      <c r="I92" s="5"/>
      <c r="J92" s="5"/>
      <c r="K92" s="5"/>
      <c r="L92" s="5"/>
    </row>
    <row r="93" spans="5:12">
      <c r="E93" s="5"/>
      <c r="F93" s="5"/>
      <c r="G93" s="5"/>
      <c r="H93" s="5"/>
      <c r="I93" s="5"/>
      <c r="J93" s="5"/>
      <c r="K93" s="5"/>
      <c r="L93" s="5"/>
    </row>
    <row r="94" spans="5:12">
      <c r="E94" s="5"/>
      <c r="F94" s="5"/>
      <c r="G94" s="5"/>
      <c r="H94" s="5"/>
      <c r="I94" s="5"/>
      <c r="J94" s="5"/>
      <c r="K94" s="5"/>
      <c r="L94" s="5"/>
    </row>
    <row r="95" spans="5:12">
      <c r="E95" s="5"/>
      <c r="F95" s="5"/>
      <c r="G95" s="5"/>
      <c r="H95" s="5"/>
      <c r="I95" s="5"/>
      <c r="J95" s="5"/>
      <c r="K95" s="5"/>
      <c r="L95" s="5"/>
    </row>
    <row r="96" spans="5:12">
      <c r="E96" s="5"/>
      <c r="F96" s="5"/>
      <c r="G96" s="5"/>
      <c r="H96" s="5"/>
      <c r="I96" s="5"/>
      <c r="J96" s="5"/>
      <c r="K96" s="5"/>
      <c r="L96" s="5"/>
    </row>
    <row r="97" spans="5:12">
      <c r="E97" s="5"/>
      <c r="F97" s="5"/>
      <c r="G97" s="5"/>
      <c r="H97" s="5"/>
      <c r="I97" s="5"/>
      <c r="J97" s="5"/>
      <c r="K97" s="5"/>
      <c r="L97" s="5"/>
    </row>
    <row r="98" spans="5:12">
      <c r="E98" s="5"/>
      <c r="F98" s="5"/>
      <c r="G98" s="5"/>
      <c r="H98" s="5"/>
      <c r="I98" s="5"/>
      <c r="J98" s="5"/>
      <c r="K98" s="5"/>
      <c r="L98" s="5"/>
    </row>
  </sheetData>
  <mergeCells count="1">
    <mergeCell ref="L6:L8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K81"/>
  <sheetViews>
    <sheetView workbookViewId="0">
      <selection activeCell="M9" sqref="M9"/>
    </sheetView>
  </sheetViews>
  <sheetFormatPr defaultRowHeight="12.75"/>
  <cols>
    <col min="1" max="1" width="5.140625" customWidth="1"/>
    <col min="2" max="2" width="15.5703125" customWidth="1"/>
    <col min="11" max="11" width="15" customWidth="1"/>
  </cols>
  <sheetData>
    <row r="3" spans="1:11">
      <c r="A3" s="5"/>
      <c r="B3" s="5"/>
      <c r="C3" s="6"/>
      <c r="D3" s="5"/>
      <c r="E3" s="5"/>
      <c r="F3" s="5"/>
      <c r="G3" s="5"/>
      <c r="H3" s="5"/>
      <c r="I3" s="5"/>
      <c r="J3" s="5"/>
      <c r="K3" s="5"/>
    </row>
    <row r="4" spans="1:11">
      <c r="A4" s="5"/>
      <c r="B4" s="5"/>
      <c r="C4" s="6"/>
      <c r="D4" s="5"/>
      <c r="E4" s="5"/>
      <c r="F4" s="5"/>
      <c r="G4" s="5"/>
      <c r="H4" s="5"/>
      <c r="I4" s="5"/>
      <c r="J4" s="5"/>
      <c r="K4" s="5"/>
    </row>
    <row r="5" spans="1:11">
      <c r="A5" s="5"/>
      <c r="B5" s="5"/>
      <c r="C5" s="6"/>
      <c r="D5" s="5"/>
      <c r="E5" s="5"/>
      <c r="F5" s="5"/>
      <c r="G5" s="5"/>
      <c r="H5" s="5"/>
      <c r="I5" s="5"/>
      <c r="J5" s="5"/>
      <c r="K5" s="5"/>
    </row>
    <row r="6" spans="1:11">
      <c r="A6" s="5"/>
      <c r="B6" s="5"/>
      <c r="C6" s="6"/>
      <c r="D6" s="5"/>
      <c r="E6" s="5"/>
      <c r="F6" s="7"/>
      <c r="G6" s="5"/>
      <c r="H6" s="5"/>
      <c r="I6" s="5"/>
      <c r="J6" s="5"/>
      <c r="K6" s="5"/>
    </row>
    <row r="7" spans="1:11">
      <c r="A7" s="5"/>
      <c r="B7" s="5"/>
      <c r="C7" s="6"/>
      <c r="D7" s="5"/>
      <c r="E7" s="5"/>
      <c r="F7" s="5"/>
      <c r="G7" s="5"/>
      <c r="H7" s="5"/>
      <c r="I7" s="5"/>
      <c r="J7" s="5"/>
      <c r="K7" s="8"/>
    </row>
    <row r="8" spans="1:11">
      <c r="A8" s="5"/>
      <c r="B8" s="5"/>
      <c r="C8" s="6"/>
      <c r="D8" s="5"/>
      <c r="E8" s="5"/>
      <c r="F8" s="5"/>
      <c r="G8" s="5"/>
      <c r="H8" s="5"/>
      <c r="I8" s="5"/>
      <c r="J8" s="5"/>
      <c r="K8" s="5"/>
    </row>
    <row r="9" spans="1:11">
      <c r="A9" s="5"/>
      <c r="B9" s="5"/>
      <c r="C9" s="6"/>
      <c r="D9" s="5"/>
      <c r="E9" s="5"/>
      <c r="F9" s="5"/>
      <c r="G9" s="5"/>
      <c r="H9" s="5"/>
      <c r="I9" s="5"/>
      <c r="J9" s="5"/>
      <c r="K9" s="8"/>
    </row>
    <row r="10" spans="1:11">
      <c r="A10" s="5"/>
      <c r="B10" s="5"/>
      <c r="C10" s="6"/>
      <c r="D10" s="5"/>
      <c r="E10" s="5"/>
      <c r="F10" s="5"/>
      <c r="G10" s="5"/>
      <c r="H10" s="5"/>
      <c r="I10" s="5"/>
      <c r="J10" s="5"/>
      <c r="K10" s="9"/>
    </row>
    <row r="11" spans="1:11">
      <c r="A11" s="5"/>
      <c r="B11" s="5"/>
      <c r="C11" s="6"/>
      <c r="D11" s="5"/>
      <c r="E11" s="5"/>
      <c r="F11" s="5"/>
      <c r="G11" s="5"/>
      <c r="H11" s="5"/>
      <c r="I11" s="5"/>
      <c r="J11" s="5"/>
      <c r="K11" s="9"/>
    </row>
    <row r="12" spans="1:11">
      <c r="A12" s="5"/>
      <c r="B12" s="5"/>
      <c r="C12" s="6"/>
      <c r="D12" s="5"/>
      <c r="E12" s="5"/>
      <c r="F12" s="5"/>
      <c r="G12" s="5"/>
      <c r="H12" s="5"/>
      <c r="I12" s="5"/>
      <c r="J12" s="5"/>
      <c r="K12" s="9"/>
    </row>
    <row r="13" spans="1:11">
      <c r="A13" s="5"/>
      <c r="B13" s="5"/>
      <c r="C13" s="6"/>
      <c r="D13" s="5"/>
      <c r="E13" s="5"/>
      <c r="F13" s="5"/>
      <c r="G13" s="5"/>
      <c r="H13" s="5"/>
      <c r="I13" s="5"/>
      <c r="J13" s="5"/>
      <c r="K13" s="9"/>
    </row>
    <row r="14" spans="1:11">
      <c r="A14" s="5"/>
      <c r="B14" s="5"/>
      <c r="C14" s="6"/>
      <c r="D14" s="5"/>
      <c r="E14" s="5"/>
      <c r="F14" s="5"/>
      <c r="G14" s="5"/>
      <c r="H14" s="5"/>
      <c r="I14" s="5"/>
      <c r="J14" s="5"/>
      <c r="K14" s="9"/>
    </row>
    <row r="15" spans="1:11">
      <c r="A15" s="5"/>
      <c r="B15" s="5"/>
      <c r="C15" s="6"/>
      <c r="D15" s="5"/>
      <c r="E15" s="5"/>
      <c r="F15" s="5"/>
      <c r="G15" s="5"/>
      <c r="H15" s="5"/>
      <c r="I15" s="5"/>
      <c r="J15" s="5"/>
      <c r="K15" s="9"/>
    </row>
    <row r="16" spans="1:11">
      <c r="A16" s="5"/>
      <c r="B16" s="5"/>
      <c r="C16" s="6"/>
      <c r="D16" s="5"/>
      <c r="E16" s="5"/>
      <c r="F16" s="5"/>
      <c r="G16" s="5"/>
      <c r="H16" s="5"/>
      <c r="I16" s="5"/>
      <c r="J16" s="5"/>
      <c r="K16" s="9"/>
    </row>
    <row r="17" spans="1:11">
      <c r="A17" s="5"/>
      <c r="B17" s="5"/>
      <c r="C17" s="6"/>
      <c r="D17" s="5"/>
      <c r="E17" s="5"/>
      <c r="F17" s="5"/>
      <c r="G17" s="5"/>
      <c r="H17" s="5"/>
      <c r="I17" s="5"/>
      <c r="J17" s="5"/>
      <c r="K17" s="9"/>
    </row>
    <row r="18" spans="1:11">
      <c r="A18" s="5"/>
      <c r="B18" s="5"/>
      <c r="C18" s="6"/>
      <c r="D18" s="5"/>
      <c r="E18" s="5"/>
      <c r="F18" s="5"/>
      <c r="G18" s="5"/>
      <c r="H18" s="5"/>
      <c r="I18" s="5"/>
      <c r="J18" s="5"/>
      <c r="K18" s="9"/>
    </row>
    <row r="19" spans="1:11">
      <c r="A19" s="5"/>
      <c r="B19" s="5"/>
      <c r="C19" s="6"/>
      <c r="D19" s="5"/>
      <c r="E19" s="5"/>
      <c r="F19" s="5"/>
      <c r="G19" s="5"/>
      <c r="H19" s="5"/>
      <c r="I19" s="5"/>
      <c r="J19" s="5"/>
      <c r="K19" s="9"/>
    </row>
    <row r="20" spans="1:11">
      <c r="A20" s="5"/>
      <c r="B20" s="5"/>
      <c r="C20" s="6"/>
      <c r="D20" s="5"/>
      <c r="E20" s="5"/>
      <c r="F20" s="5"/>
      <c r="G20" s="5"/>
      <c r="H20" s="5"/>
      <c r="I20" s="5"/>
      <c r="J20" s="5"/>
      <c r="K20" s="9"/>
    </row>
    <row r="21" spans="1:11">
      <c r="A21" s="5"/>
      <c r="B21" s="5"/>
      <c r="C21" s="6"/>
      <c r="D21" s="5"/>
      <c r="E21" s="5"/>
      <c r="F21" s="5"/>
      <c r="G21" s="5"/>
      <c r="H21" s="5"/>
      <c r="I21" s="5"/>
      <c r="J21" s="5"/>
      <c r="K21" s="9"/>
    </row>
    <row r="22" spans="1:11">
      <c r="A22" s="5"/>
      <c r="B22" s="5"/>
      <c r="C22" s="6"/>
      <c r="D22" s="5"/>
      <c r="E22" s="5"/>
      <c r="F22" s="5"/>
      <c r="G22" s="5"/>
      <c r="H22" s="5"/>
      <c r="I22" s="5"/>
      <c r="J22" s="5"/>
      <c r="K22" s="9"/>
    </row>
    <row r="23" spans="1:11">
      <c r="A23" s="5"/>
      <c r="B23" s="5"/>
      <c r="C23" s="6"/>
      <c r="D23" s="5"/>
      <c r="E23" s="5"/>
      <c r="F23" s="5"/>
      <c r="G23" s="5"/>
      <c r="H23" s="5"/>
      <c r="I23" s="5"/>
      <c r="J23" s="5"/>
      <c r="K23" s="9"/>
    </row>
    <row r="24" spans="1:11">
      <c r="A24" s="5"/>
      <c r="B24" s="5"/>
      <c r="C24" s="6"/>
      <c r="D24" s="5"/>
      <c r="E24" s="5"/>
      <c r="F24" s="5"/>
      <c r="G24" s="5"/>
      <c r="H24" s="5"/>
      <c r="I24" s="5"/>
      <c r="J24" s="5"/>
      <c r="K24" s="9"/>
    </row>
    <row r="25" spans="1:11">
      <c r="A25" s="5"/>
      <c r="B25" s="5"/>
      <c r="C25" s="6"/>
      <c r="D25" s="5"/>
      <c r="E25" s="5"/>
      <c r="F25" s="5"/>
      <c r="G25" s="5"/>
      <c r="H25" s="5"/>
      <c r="I25" s="5"/>
      <c r="J25" s="5"/>
      <c r="K25" s="9"/>
    </row>
    <row r="26" spans="1:11">
      <c r="A26" s="5"/>
      <c r="B26" s="5"/>
      <c r="C26" s="6"/>
      <c r="D26" s="5"/>
      <c r="E26" s="5"/>
      <c r="F26" s="5"/>
      <c r="G26" s="5"/>
      <c r="H26" s="5"/>
      <c r="I26" s="5"/>
      <c r="J26" s="5"/>
      <c r="K26" s="9"/>
    </row>
    <row r="27" spans="1:11">
      <c r="A27" s="5"/>
      <c r="B27" s="5"/>
      <c r="C27" s="6"/>
      <c r="D27" s="5"/>
      <c r="E27" s="5"/>
      <c r="F27" s="5"/>
      <c r="G27" s="5"/>
      <c r="H27" s="5"/>
      <c r="I27" s="5"/>
      <c r="J27" s="5"/>
      <c r="K27" s="9"/>
    </row>
    <row r="28" spans="1:11">
      <c r="A28" s="5"/>
      <c r="B28" s="5"/>
      <c r="C28" s="6"/>
      <c r="D28" s="5"/>
      <c r="E28" s="5"/>
      <c r="F28" s="5"/>
      <c r="G28" s="5"/>
      <c r="H28" s="5"/>
      <c r="I28" s="5"/>
      <c r="J28" s="5"/>
      <c r="K28" s="9"/>
    </row>
    <row r="29" spans="1:11">
      <c r="A29" s="5"/>
      <c r="B29" s="5"/>
      <c r="C29" s="6"/>
      <c r="D29" s="5"/>
      <c r="E29" s="5"/>
      <c r="F29" s="5"/>
      <c r="G29" s="5"/>
      <c r="H29" s="5"/>
      <c r="I29" s="5"/>
      <c r="J29" s="5"/>
      <c r="K29" s="9"/>
    </row>
    <row r="30" spans="1:11">
      <c r="A30" s="5"/>
      <c r="B30" s="5"/>
      <c r="C30" s="6"/>
      <c r="D30" s="5"/>
      <c r="E30" s="5"/>
      <c r="F30" s="5"/>
      <c r="G30" s="5"/>
      <c r="H30" s="5"/>
      <c r="I30" s="5"/>
      <c r="J30" s="5"/>
      <c r="K30" s="9"/>
    </row>
    <row r="31" spans="1:11">
      <c r="A31" s="5"/>
      <c r="B31" s="5"/>
      <c r="C31" s="6"/>
      <c r="D31" s="5"/>
      <c r="E31" s="5"/>
      <c r="F31" s="5"/>
      <c r="G31" s="5"/>
      <c r="H31" s="5"/>
      <c r="I31" s="5"/>
      <c r="J31" s="5"/>
      <c r="K31" s="9"/>
    </row>
    <row r="32" spans="1:11">
      <c r="A32" s="5"/>
      <c r="B32" s="5"/>
      <c r="C32" s="6"/>
      <c r="D32" s="5"/>
      <c r="E32" s="5"/>
      <c r="F32" s="5"/>
      <c r="G32" s="5"/>
      <c r="H32" s="5"/>
      <c r="I32" s="5"/>
      <c r="J32" s="5"/>
      <c r="K32" s="9"/>
    </row>
    <row r="33" spans="1:11">
      <c r="A33" s="5"/>
      <c r="B33" s="5"/>
      <c r="C33" s="6"/>
      <c r="D33" s="5"/>
      <c r="E33" s="5"/>
      <c r="F33" s="5"/>
      <c r="G33" s="5"/>
      <c r="H33" s="5"/>
      <c r="I33" s="5"/>
      <c r="J33" s="5"/>
      <c r="K33" s="9"/>
    </row>
    <row r="34" spans="1:11">
      <c r="A34" s="5"/>
      <c r="B34" s="5"/>
      <c r="C34" s="6"/>
      <c r="D34" s="5"/>
      <c r="E34" s="5"/>
      <c r="F34" s="5"/>
      <c r="G34" s="5"/>
      <c r="H34" s="5"/>
      <c r="I34" s="5"/>
      <c r="J34" s="5"/>
      <c r="K34" s="9"/>
    </row>
    <row r="35" spans="1:11">
      <c r="A35" s="5"/>
      <c r="B35" s="5"/>
      <c r="C35" s="6"/>
      <c r="D35" s="5"/>
      <c r="E35" s="5"/>
      <c r="F35" s="5"/>
      <c r="G35" s="5"/>
      <c r="H35" s="5"/>
      <c r="I35" s="5"/>
      <c r="J35" s="5"/>
      <c r="K35" s="9"/>
    </row>
    <row r="36" spans="1:11">
      <c r="A36" s="5"/>
      <c r="B36" s="5"/>
      <c r="C36" s="6"/>
      <c r="D36" s="5"/>
      <c r="E36" s="5"/>
      <c r="F36" s="5"/>
      <c r="G36" s="5"/>
      <c r="H36" s="5"/>
      <c r="I36" s="5"/>
      <c r="J36" s="5"/>
      <c r="K36" s="9"/>
    </row>
    <row r="37" spans="1:11">
      <c r="A37" s="5"/>
      <c r="B37" s="5"/>
      <c r="C37" s="6"/>
      <c r="D37" s="5"/>
      <c r="E37" s="5"/>
      <c r="F37" s="5"/>
      <c r="G37" s="5"/>
      <c r="H37" s="5"/>
      <c r="I37" s="5"/>
      <c r="J37" s="5"/>
      <c r="K37" s="9"/>
    </row>
    <row r="38" spans="1:11">
      <c r="A38" s="5"/>
      <c r="B38" s="5"/>
      <c r="C38" s="6"/>
      <c r="D38" s="5"/>
      <c r="E38" s="5"/>
      <c r="F38" s="5"/>
      <c r="G38" s="5"/>
      <c r="H38" s="5"/>
      <c r="I38" s="5"/>
      <c r="J38" s="5"/>
      <c r="K38" s="9"/>
    </row>
    <row r="39" spans="1:11">
      <c r="A39" s="5"/>
      <c r="B39" s="5"/>
      <c r="C39" s="6"/>
      <c r="D39" s="5"/>
      <c r="E39" s="5"/>
      <c r="F39" s="5"/>
      <c r="G39" s="5"/>
      <c r="H39" s="5"/>
      <c r="I39" s="5"/>
      <c r="J39" s="5"/>
      <c r="K39" s="9"/>
    </row>
    <row r="40" spans="1:11">
      <c r="A40" s="5"/>
      <c r="B40" s="5"/>
      <c r="C40" s="6"/>
      <c r="D40" s="5"/>
      <c r="E40" s="5"/>
      <c r="F40" s="5"/>
      <c r="G40" s="5"/>
      <c r="H40" s="5"/>
      <c r="I40" s="5"/>
      <c r="J40" s="5"/>
      <c r="K40" s="9"/>
    </row>
    <row r="41" spans="1:11">
      <c r="A41" s="5"/>
      <c r="B41" s="5"/>
      <c r="C41" s="6"/>
      <c r="D41" s="5"/>
      <c r="E41" s="5"/>
      <c r="F41" s="5"/>
      <c r="G41" s="5"/>
      <c r="H41" s="5"/>
      <c r="I41" s="5"/>
      <c r="J41" s="5"/>
      <c r="K41" s="9"/>
    </row>
    <row r="42" spans="1:11">
      <c r="A42" s="5"/>
      <c r="B42" s="5"/>
      <c r="C42" s="6"/>
      <c r="D42" s="5"/>
      <c r="E42" s="5"/>
      <c r="F42" s="5"/>
      <c r="G42" s="5"/>
      <c r="H42" s="5"/>
      <c r="I42" s="5"/>
      <c r="J42" s="5"/>
      <c r="K42" s="9"/>
    </row>
    <row r="43" spans="1:11">
      <c r="A43" s="5"/>
      <c r="B43" s="5"/>
      <c r="C43" s="6"/>
      <c r="D43" s="5"/>
      <c r="E43" s="5"/>
      <c r="F43" s="5"/>
      <c r="G43" s="5"/>
      <c r="H43" s="5"/>
      <c r="I43" s="5"/>
      <c r="J43" s="5"/>
      <c r="K43" s="9"/>
    </row>
    <row r="44" spans="1:11">
      <c r="A44" s="5"/>
      <c r="B44" s="5"/>
      <c r="C44" s="6"/>
      <c r="D44" s="5"/>
      <c r="E44" s="5"/>
      <c r="F44" s="5"/>
      <c r="G44" s="5"/>
      <c r="H44" s="5"/>
      <c r="I44" s="5"/>
      <c r="J44" s="5"/>
      <c r="K44" s="9"/>
    </row>
    <row r="45" spans="1:11">
      <c r="A45" s="5"/>
      <c r="B45" s="5"/>
      <c r="C45" s="6"/>
      <c r="D45" s="5"/>
      <c r="E45" s="5"/>
      <c r="F45" s="5"/>
      <c r="G45" s="5"/>
      <c r="H45" s="5"/>
      <c r="I45" s="5"/>
      <c r="J45" s="5"/>
      <c r="K45" s="9"/>
    </row>
    <row r="46" spans="1:11">
      <c r="A46" s="5"/>
      <c r="B46" s="5"/>
      <c r="C46" s="6"/>
      <c r="D46" s="5"/>
      <c r="E46" s="5"/>
      <c r="F46" s="5"/>
      <c r="G46" s="5"/>
      <c r="H46" s="5"/>
      <c r="I46" s="5"/>
      <c r="J46" s="5"/>
      <c r="K46" s="9"/>
    </row>
    <row r="47" spans="1:11">
      <c r="A47" s="5"/>
      <c r="B47" s="5"/>
      <c r="C47" s="6"/>
      <c r="D47" s="5"/>
      <c r="E47" s="5"/>
      <c r="F47" s="5"/>
      <c r="G47" s="5"/>
      <c r="H47" s="5"/>
      <c r="I47" s="5"/>
      <c r="J47" s="5"/>
      <c r="K47" s="9"/>
    </row>
    <row r="48" spans="1:11">
      <c r="A48" s="5"/>
      <c r="B48" s="5"/>
      <c r="C48" s="6"/>
      <c r="D48" s="5"/>
      <c r="E48" s="5"/>
      <c r="F48" s="5"/>
      <c r="G48" s="5"/>
      <c r="H48" s="5"/>
      <c r="I48" s="5"/>
      <c r="J48" s="5"/>
      <c r="K48" s="9"/>
    </row>
    <row r="49" spans="1:11">
      <c r="A49" s="5"/>
      <c r="B49" s="5"/>
      <c r="C49" s="6"/>
      <c r="D49" s="5"/>
      <c r="E49" s="5"/>
      <c r="F49" s="5"/>
      <c r="G49" s="5"/>
      <c r="H49" s="5"/>
      <c r="I49" s="5"/>
      <c r="J49" s="5"/>
      <c r="K49" s="9"/>
    </row>
    <row r="50" spans="1:11">
      <c r="A50" s="5"/>
      <c r="B50" s="5"/>
      <c r="C50" s="6"/>
      <c r="D50" s="5"/>
      <c r="E50" s="5"/>
      <c r="F50" s="5"/>
      <c r="G50" s="5"/>
      <c r="H50" s="5"/>
      <c r="I50" s="5"/>
      <c r="J50" s="5"/>
      <c r="K50" s="9"/>
    </row>
    <row r="51" spans="1:11">
      <c r="A51" s="5"/>
      <c r="B51" s="5"/>
      <c r="C51" s="6"/>
      <c r="D51" s="5"/>
      <c r="E51" s="5"/>
      <c r="F51" s="5"/>
      <c r="G51" s="5"/>
      <c r="H51" s="5"/>
      <c r="I51" s="5"/>
      <c r="J51" s="5"/>
      <c r="K51" s="9"/>
    </row>
    <row r="52" spans="1:11">
      <c r="A52" s="5"/>
      <c r="B52" s="5"/>
      <c r="C52" s="6"/>
      <c r="D52" s="5"/>
      <c r="E52" s="5"/>
      <c r="F52" s="5"/>
      <c r="G52" s="5"/>
      <c r="H52" s="5"/>
      <c r="I52" s="5"/>
      <c r="J52" s="5"/>
      <c r="K52" s="9"/>
    </row>
    <row r="53" spans="1:11">
      <c r="A53" s="5"/>
      <c r="B53" s="5"/>
      <c r="C53" s="6"/>
      <c r="D53" s="5"/>
      <c r="E53" s="5"/>
      <c r="F53" s="5"/>
      <c r="G53" s="5"/>
      <c r="H53" s="5"/>
      <c r="I53" s="5"/>
      <c r="J53" s="5"/>
      <c r="K53" s="9"/>
    </row>
    <row r="54" spans="1:11">
      <c r="A54" s="5"/>
      <c r="B54" s="5"/>
      <c r="C54" s="6"/>
      <c r="D54" s="5"/>
      <c r="E54" s="5"/>
      <c r="F54" s="5"/>
      <c r="G54" s="5"/>
      <c r="H54" s="5"/>
      <c r="I54" s="5"/>
      <c r="J54" s="5"/>
      <c r="K54" s="9"/>
    </row>
    <row r="55" spans="1:11">
      <c r="A55" s="5"/>
      <c r="B55" s="5"/>
      <c r="C55" s="6"/>
      <c r="D55" s="5"/>
      <c r="E55" s="5"/>
      <c r="F55" s="5"/>
      <c r="G55" s="5"/>
      <c r="H55" s="5"/>
      <c r="I55" s="5"/>
      <c r="J55" s="5"/>
      <c r="K55" s="9"/>
    </row>
    <row r="56" spans="1:11">
      <c r="A56" s="5"/>
      <c r="B56" s="5"/>
      <c r="C56" s="6"/>
      <c r="D56" s="5"/>
      <c r="E56" s="5"/>
      <c r="F56" s="5"/>
      <c r="G56" s="5"/>
      <c r="H56" s="5"/>
      <c r="I56" s="5"/>
      <c r="J56" s="5"/>
      <c r="K56" s="9"/>
    </row>
    <row r="57" spans="1:11">
      <c r="A57" s="5"/>
      <c r="B57" s="5"/>
      <c r="C57" s="6"/>
      <c r="D57" s="5"/>
      <c r="E57" s="5"/>
      <c r="F57" s="5"/>
      <c r="G57" s="5"/>
      <c r="H57" s="5"/>
      <c r="I57" s="5"/>
      <c r="J57" s="5"/>
      <c r="K57" s="9"/>
    </row>
    <row r="58" spans="1:11">
      <c r="A58" s="5"/>
      <c r="B58" s="5"/>
      <c r="C58" s="6"/>
      <c r="D58" s="5"/>
      <c r="E58" s="5"/>
      <c r="F58" s="5"/>
      <c r="G58" s="5"/>
      <c r="H58" s="5"/>
      <c r="I58" s="5"/>
      <c r="J58" s="5"/>
      <c r="K58" s="9"/>
    </row>
    <row r="59" spans="1:11">
      <c r="A59" s="5"/>
      <c r="B59" s="5"/>
      <c r="C59" s="6"/>
      <c r="D59" s="5"/>
      <c r="E59" s="5"/>
      <c r="F59" s="5"/>
      <c r="G59" s="5"/>
      <c r="H59" s="5"/>
      <c r="I59" s="5"/>
      <c r="J59" s="5"/>
      <c r="K59" s="9"/>
    </row>
    <row r="60" spans="1:11">
      <c r="A60" s="5"/>
      <c r="B60" s="5"/>
      <c r="C60" s="10"/>
      <c r="D60" s="5"/>
      <c r="E60" s="5"/>
      <c r="F60" s="5"/>
      <c r="G60" s="5"/>
      <c r="H60" s="5"/>
      <c r="I60" s="5"/>
      <c r="J60" s="5"/>
      <c r="K60" s="9"/>
    </row>
    <row r="61" spans="1:11">
      <c r="A61" s="5"/>
      <c r="B61" s="5"/>
      <c r="C61" s="6"/>
      <c r="D61" s="5"/>
      <c r="E61" s="5"/>
      <c r="F61" s="5"/>
      <c r="G61" s="5"/>
      <c r="H61" s="5"/>
      <c r="I61" s="5"/>
      <c r="J61" s="5"/>
      <c r="K61" s="9"/>
    </row>
    <row r="62" spans="1:11">
      <c r="A62" s="5"/>
      <c r="B62" s="5"/>
      <c r="C62" s="6"/>
      <c r="D62" s="5"/>
      <c r="E62" s="5"/>
      <c r="F62" s="5"/>
      <c r="G62" s="5"/>
      <c r="H62" s="5"/>
      <c r="I62" s="5"/>
      <c r="J62" s="5"/>
      <c r="K62" s="9"/>
    </row>
    <row r="63" spans="1:11">
      <c r="A63" s="11"/>
      <c r="B63" s="11"/>
      <c r="C63" s="6"/>
      <c r="D63" s="11"/>
      <c r="E63" s="11"/>
      <c r="F63" s="11"/>
      <c r="G63" s="11"/>
      <c r="H63" s="11"/>
      <c r="I63" s="11"/>
      <c r="J63" s="11"/>
      <c r="K63" s="9"/>
    </row>
    <row r="64" spans="1:11">
      <c r="A64" s="5"/>
      <c r="B64" s="5"/>
      <c r="C64" s="6"/>
      <c r="D64" s="11"/>
      <c r="E64" s="5"/>
      <c r="F64" s="11"/>
      <c r="G64" s="11"/>
      <c r="H64" s="11"/>
      <c r="I64" s="5"/>
      <c r="J64" s="11"/>
      <c r="K64" s="9"/>
    </row>
    <row r="65" spans="1:11">
      <c r="A65" s="5"/>
      <c r="B65" s="5"/>
      <c r="C65" s="6"/>
      <c r="D65" s="11"/>
      <c r="E65" s="5"/>
      <c r="F65" s="11"/>
      <c r="G65" s="11"/>
      <c r="H65" s="11"/>
      <c r="I65" s="5"/>
      <c r="J65" s="11"/>
      <c r="K65" s="9"/>
    </row>
    <row r="66" spans="1:11">
      <c r="A66" s="5"/>
      <c r="B66" s="5"/>
      <c r="C66" s="6"/>
      <c r="D66" s="11"/>
      <c r="E66" s="5"/>
      <c r="F66" s="11"/>
      <c r="G66" s="11"/>
      <c r="H66" s="11"/>
      <c r="I66" s="5"/>
      <c r="J66" s="11"/>
      <c r="K66" s="9"/>
    </row>
    <row r="67" spans="1:11">
      <c r="A67" s="5"/>
      <c r="B67" s="5"/>
      <c r="C67" s="6"/>
      <c r="D67" s="11"/>
      <c r="E67" s="5"/>
      <c r="F67" s="11"/>
      <c r="G67" s="11"/>
      <c r="H67" s="11"/>
      <c r="I67" s="5"/>
      <c r="J67" s="11"/>
      <c r="K67" s="9"/>
    </row>
    <row r="68" spans="1:11">
      <c r="A68" s="5"/>
      <c r="B68" s="5"/>
      <c r="C68" s="10"/>
      <c r="D68" s="11"/>
      <c r="E68" s="5"/>
      <c r="F68" s="11"/>
      <c r="G68" s="11"/>
      <c r="H68" s="11"/>
      <c r="I68" s="5"/>
      <c r="J68" s="11"/>
      <c r="K68" s="9"/>
    </row>
    <row r="69" spans="1:11">
      <c r="A69" s="5"/>
      <c r="B69" s="5"/>
      <c r="C69" s="6"/>
      <c r="D69" s="11"/>
      <c r="E69" s="5"/>
      <c r="F69" s="11"/>
      <c r="G69" s="5"/>
      <c r="H69" s="11"/>
      <c r="I69" s="5"/>
      <c r="J69" s="11"/>
      <c r="K69" s="9"/>
    </row>
    <row r="70" spans="1:11">
      <c r="A70" s="5"/>
      <c r="B70" s="5"/>
      <c r="C70" s="6"/>
      <c r="D70" s="11"/>
      <c r="E70" s="5"/>
      <c r="F70" s="11"/>
      <c r="G70" s="5"/>
      <c r="H70" s="11"/>
      <c r="I70" s="5"/>
      <c r="J70" s="11"/>
      <c r="K70" s="9"/>
    </row>
    <row r="71" spans="1:11">
      <c r="A71" s="5"/>
      <c r="B71" s="5"/>
      <c r="C71" s="6"/>
      <c r="D71" s="11"/>
      <c r="E71" s="5"/>
      <c r="F71" s="11"/>
      <c r="G71" s="11"/>
      <c r="H71" s="11"/>
      <c r="I71" s="5"/>
      <c r="J71" s="11"/>
      <c r="K71" s="9"/>
    </row>
    <row r="72" spans="1:11">
      <c r="A72" s="5"/>
      <c r="B72" s="5"/>
      <c r="C72" s="6"/>
      <c r="D72" s="11"/>
      <c r="E72" s="5"/>
      <c r="F72" s="11"/>
      <c r="G72" s="11"/>
      <c r="H72" s="11"/>
      <c r="I72" s="5"/>
      <c r="J72" s="11"/>
      <c r="K72" s="9"/>
    </row>
    <row r="73" spans="1:11">
      <c r="A73" s="5"/>
      <c r="B73" s="5"/>
      <c r="C73" s="6"/>
      <c r="D73" s="11"/>
      <c r="E73" s="5"/>
      <c r="F73" s="11"/>
      <c r="G73" s="11"/>
      <c r="H73" s="11"/>
      <c r="I73" s="5"/>
      <c r="J73" s="11"/>
      <c r="K73" s="9"/>
    </row>
    <row r="74" spans="1:11">
      <c r="A74" s="5"/>
      <c r="B74" s="5"/>
      <c r="C74" s="6"/>
      <c r="D74" s="11"/>
      <c r="E74" s="5"/>
      <c r="F74" s="11"/>
      <c r="G74" s="11"/>
      <c r="H74" s="11"/>
      <c r="I74" s="5"/>
      <c r="J74" s="11"/>
      <c r="K74" s="9"/>
    </row>
    <row r="75" spans="1:11">
      <c r="A75" s="5"/>
      <c r="B75" s="5"/>
      <c r="C75" s="6"/>
      <c r="D75" s="11"/>
      <c r="E75" s="5"/>
      <c r="F75" s="11"/>
      <c r="G75" s="11"/>
      <c r="H75" s="11"/>
      <c r="I75" s="5"/>
      <c r="J75" s="11"/>
      <c r="K75" s="9"/>
    </row>
    <row r="76" spans="1:11">
      <c r="A76" s="5"/>
      <c r="B76" s="5"/>
      <c r="C76" s="6"/>
      <c r="D76" s="11"/>
      <c r="E76" s="5"/>
      <c r="F76" s="11"/>
      <c r="G76" s="11"/>
      <c r="H76" s="11"/>
      <c r="I76" s="5"/>
      <c r="J76" s="11"/>
      <c r="K76" s="9"/>
    </row>
    <row r="77" spans="1:11">
      <c r="A77" s="5"/>
      <c r="B77" s="5"/>
      <c r="C77" s="6"/>
      <c r="D77" s="11"/>
      <c r="E77" s="5"/>
      <c r="F77" s="11"/>
      <c r="G77" s="11"/>
      <c r="H77" s="11"/>
      <c r="I77" s="5"/>
      <c r="J77" s="11"/>
      <c r="K77" s="9"/>
    </row>
    <row r="78" spans="1:11">
      <c r="A78" s="5"/>
      <c r="B78" s="5"/>
      <c r="C78" s="6"/>
      <c r="D78" s="11"/>
      <c r="E78" s="5"/>
      <c r="F78" s="11"/>
      <c r="G78" s="11"/>
      <c r="H78" s="11"/>
      <c r="I78" s="5"/>
      <c r="J78" s="11"/>
      <c r="K78" s="9"/>
    </row>
    <row r="79" spans="1:11">
      <c r="A79" s="7"/>
      <c r="B79" s="12"/>
      <c r="C79" s="13"/>
      <c r="D79" s="7"/>
      <c r="E79" s="7"/>
      <c r="F79" s="7"/>
      <c r="G79" s="7"/>
      <c r="H79" s="7"/>
      <c r="I79" s="7"/>
      <c r="J79" s="7"/>
      <c r="K79" s="14"/>
    </row>
    <row r="80" spans="1:11">
      <c r="C80" s="1"/>
    </row>
    <row r="81" spans="3:3">
      <c r="C81" s="1"/>
    </row>
  </sheetData>
  <phoneticPr fontId="0" type="noConversion"/>
  <pageMargins left="0.75" right="0.75" top="1" bottom="1" header="0.5" footer="0.5"/>
  <pageSetup paperSize="9" orientation="landscape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2014</vt:lpstr>
      <vt:lpstr>Лист1</vt:lpstr>
      <vt:lpstr>Лист3</vt:lpstr>
    </vt:vector>
  </TitlesOfParts>
  <Company>unattend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user</cp:lastModifiedBy>
  <cp:lastPrinted>2015-04-18T10:07:08Z</cp:lastPrinted>
  <dcterms:created xsi:type="dcterms:W3CDTF">2011-03-29T06:42:05Z</dcterms:created>
  <dcterms:modified xsi:type="dcterms:W3CDTF">2016-03-16T05:49:16Z</dcterms:modified>
</cp:coreProperties>
</file>